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1.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E:\Users\Alex\Documents\Electronics Projects\Modular Audio\design_simulations\lm5123sim\"/>
    </mc:Choice>
  </mc:AlternateContent>
  <xr:revisionPtr revIDLastSave="0" documentId="13_ncr:1_{B9C22EAE-6A47-4CD0-87E4-47850ED96984}" xr6:coauthVersionLast="47" xr6:coauthVersionMax="47" xr10:uidLastSave="{00000000-0000-0000-0000-000000000000}"/>
  <bookViews>
    <workbookView xWindow="28680" yWindow="-120" windowWidth="19440" windowHeight="15000" xr2:uid="{00000000-000D-0000-FFFF-FFFF00000000}"/>
  </bookViews>
  <sheets>
    <sheet name="Design Converter" sheetId="1" r:id="rId1"/>
    <sheet name="Variable_Management" sheetId="2" r:id="rId2"/>
    <sheet name="Eff_vs_IOUT" sheetId="4" r:id="rId3"/>
    <sheet name="Loop_Modeling" sheetId="5" r:id="rId4"/>
    <sheet name="Constants" sheetId="3" r:id="rId5"/>
    <sheet name="Plot_Management_Eff" sheetId="6" r:id="rId6"/>
    <sheet name="Plot_Management_Sch" sheetId="7" r:id="rId7"/>
    <sheet name="Lists" sheetId="8" r:id="rId8"/>
    <sheet name="Sheet1" sheetId="9" r:id="rId9"/>
  </sheets>
  <definedNames>
    <definedName name="Acs">Constants!$B$33</definedName>
    <definedName name="Adc">Loop_Modeling!$B$38</definedName>
    <definedName name="Adc_ea">Loop_Modeling!$B$62</definedName>
    <definedName name="ADC_VINmin">Variable_Management!$B$160</definedName>
    <definedName name="CCOMP">Variable_Management!$B$225</definedName>
    <definedName name="CCOMP_Calc">Variable_Management!$B$224</definedName>
    <definedName name="CCOMP_calc_CCM">Variable_Management!$B$189</definedName>
    <definedName name="CCOMP_CALC_DCM">Variable_Management!$B$215</definedName>
    <definedName name="CHF">Variable_Management!$B$227</definedName>
    <definedName name="CHF_calc">Variable_Management!$B$226</definedName>
    <definedName name="CHF_CALC_CCM">Variable_Management!$B$190</definedName>
    <definedName name="CHF_CALC_DCM">Variable_Management!$B$216</definedName>
    <definedName name="Comp_calc_CCM">Variable_Management!$B$189</definedName>
    <definedName name="Cout">Variable_Management!$B$110</definedName>
    <definedName name="Cout_min">Variable_Management!$B$108</definedName>
    <definedName name="D_limit_max">Constants!$B$18</definedName>
    <definedName name="D_limit_min">Constants!$B$16</definedName>
    <definedName name="D_limit_nom">Constants!$B$17</definedName>
    <definedName name="DC_DCM_max">Variable_Management!$B$39</definedName>
    <definedName name="Dc_max_IC">Variable_Management!$B$23</definedName>
    <definedName name="Dc_max_ideal">Variable_Management!$A$22</definedName>
    <definedName name="DC_rip">Variable_Management!$B$32</definedName>
    <definedName name="Dc_rip_max">Variable_Management!$B$31</definedName>
    <definedName name="Dc_VIN_max">Variable_Management!$B$71</definedName>
    <definedName name="Dc_VIN_min">Variable_Management!$B$55</definedName>
    <definedName name="Dc_VIN_nom">Variable_Management!$B$63</definedName>
    <definedName name="DC_VIN_var_DCM">Loop_Modeling!$B$70</definedName>
    <definedName name="_xlnm.Print_Area" localSheetId="0">'Design Converter'!$A$1:$Z$97</definedName>
    <definedName name="EFF_est">Variable_Management!$B$16</definedName>
    <definedName name="Eff_vs_IOUT">Plot_Management_Eff!$C$3</definedName>
    <definedName name="fcross">Variable_Management!$B$220</definedName>
    <definedName name="fcross_est">Variable_Management!$B$219</definedName>
    <definedName name="fp_ea_est">Variable_Management!$B$182</definedName>
    <definedName name="Fsw">Variable_Management!$B$10</definedName>
    <definedName name="fz_ea_est">Variable_Management!$B$181</definedName>
    <definedName name="fz_rhp">Variable_Management!$B$169</definedName>
    <definedName name="Gcomp">Constants!$B$32</definedName>
    <definedName name="Gea_mid_calc">Variable_Management!#REF!</definedName>
    <definedName name="gfs">Variable_Management!$B$243</definedName>
    <definedName name="gm_ea">Constants!$B$37</definedName>
    <definedName name="Gplant_fc_dB">Loop_Modeling!$AD$7</definedName>
    <definedName name="IIN_33">Variable_Management!$B$35</definedName>
    <definedName name="IL_avg_VIN_max">Variable_Management!$B$73</definedName>
    <definedName name="IL_avg_VIN_min">Variable_Management!$B$57</definedName>
    <definedName name="IL_avg_VIN_nom">Variable_Management!$B$65</definedName>
    <definedName name="IL_pk">Variable_Management!$B$94</definedName>
    <definedName name="IL_pk_max">Variable_Management!$B$95</definedName>
    <definedName name="ILp_VINmax">Variable_Management!$B$75</definedName>
    <definedName name="ILp_VINmin">Variable_Management!$B$59</definedName>
    <definedName name="ILp_VINnom">Variable_Management!$B$67</definedName>
    <definedName name="ILrip">Variable_Management!$B$30</definedName>
    <definedName name="ILrip_VINmax">Variable_Management!$B$74</definedName>
    <definedName name="ILrip_VINmin">Variable_Management!$B$58</definedName>
    <definedName name="ILrip_VINnom">Variable_Management!$B$66</definedName>
    <definedName name="IOUT">Variable_Management!$B$13</definedName>
    <definedName name="IOUT_VAR">Loop_Modeling!$B$17</definedName>
    <definedName name="Ipk_margin">Variable_Management!$B$78</definedName>
    <definedName name="Ipk_selected">Variable_Management!$B$80</definedName>
    <definedName name="IQ">Constants!$B$58</definedName>
    <definedName name="IRMS_COUT">Variable_Management!$B$109</definedName>
    <definedName name="Isl">Constants!$B$26</definedName>
    <definedName name="Iss">Constants!$B$47</definedName>
    <definedName name="Kd">Loop_Modeling!$B$36</definedName>
    <definedName name="Kd_VINmin">Variable_Management!$B$156</definedName>
    <definedName name="Kex">Loop_Modeling!$B$34</definedName>
    <definedName name="Kex_VINmin">Variable_Management!$B$154</definedName>
    <definedName name="Kfb">Variable_Management!$B$139</definedName>
    <definedName name="Kfb_high">Constants!$B$39</definedName>
    <definedName name="Kfb_low">Constants!$B$38</definedName>
    <definedName name="Km">Loop_Modeling!$B$35</definedName>
    <definedName name="Km_VINmin">Variable_Management!$B$155</definedName>
    <definedName name="Kslope">Variable_Management!#REF!</definedName>
    <definedName name="Lm">Variable_Management!$B$47</definedName>
    <definedName name="Lopt">Variable_Management!#REF!</definedName>
    <definedName name="Lopt_2">Variable_Management!$B$36</definedName>
    <definedName name="M_L_DCM">Variable_Management!$B$41</definedName>
    <definedName name="Np">Variable_Management!$B$17</definedName>
    <definedName name="POUT">Variable_Management!$B$15</definedName>
    <definedName name="Q">Loop_Modeling!$B$52</definedName>
    <definedName name="Q_VINmin">Variable_Management!$B$177</definedName>
    <definedName name="Qg_tot">Variable_Management!$B$238</definedName>
    <definedName name="Qg_tot_HS">Variable_Management!$B$255</definedName>
    <definedName name="Qgd">Variable_Management!$B$239</definedName>
    <definedName name="Qgs">Variable_Management!$B$240</definedName>
    <definedName name="Qrr">Variable_Management!$B$263</definedName>
    <definedName name="R_cs">Variable_Management!$B$90</definedName>
    <definedName name="R_sl">Variable_Management!$B$91</definedName>
    <definedName name="RCOMP">Variable_Management!$B$223</definedName>
    <definedName name="RCOMP_Calc">Variable_Management!$B$222</definedName>
    <definedName name="Rcomp_calc_CCM">Variable_Management!$B$188</definedName>
    <definedName name="RCOMP_CALC_DCM">Variable_Management!$B$214</definedName>
    <definedName name="Rcs_max">Variable_Management!$B$83</definedName>
    <definedName name="Rcs_w_sl">Variable_Management!#REF!</definedName>
    <definedName name="Rcs_wo_sl">Variable_Management!$B$84</definedName>
    <definedName name="Rdcr">Variable_Management!$B$48</definedName>
    <definedName name="RDS_on">Variable_Management!$B$237</definedName>
    <definedName name="RDS_on_HS">Variable_Management!$B$254</definedName>
    <definedName name="Resr">Variable_Management!$B$111</definedName>
    <definedName name="RFBB">Variable_Management!$B$147</definedName>
    <definedName name="RFBB_calc">Variable_Management!$B$146</definedName>
    <definedName name="RFBT">Variable_Management!$B$145</definedName>
    <definedName name="Rgate">Variable_Management!$B$241</definedName>
    <definedName name="Rmax">Variable_Management!$B$140</definedName>
    <definedName name="Rmax_high">Constants!$B$41</definedName>
    <definedName name="Rmax_low">Constants!$B$40</definedName>
    <definedName name="Rmin">Variable_Management!$B$141</definedName>
    <definedName name="Rmin_high">Constants!$B$43</definedName>
    <definedName name="Rmin_low">Constants!$B$42</definedName>
    <definedName name="ROUT">Variable_Management!$B$14</definedName>
    <definedName name="Rsl_int">Constants!$B$27</definedName>
    <definedName name="RT">Variable_Management!$B$11</definedName>
    <definedName name="Ruvlo_bottom_calc">Variable_Management!$B$129</definedName>
    <definedName name="Ruvlo_top">Variable_Management!$B$128</definedName>
    <definedName name="Ruvlo_top_calc">Variable_Management!$B$127</definedName>
    <definedName name="SCH">INDIRECT(Plot_Management_Sch!$A$1)</definedName>
    <definedName name="SCH_1">Plot_Management_Sch!$B$2</definedName>
    <definedName name="SCH_2">Plot_Management_Sch!$B$5</definedName>
    <definedName name="SCH_3">Plot_Management_Sch!$B$7</definedName>
    <definedName name="Se_VINmin">Variable_Management!$B$173</definedName>
    <definedName name="Sn_VINmin">Variable_Management!$B$174</definedName>
    <definedName name="t_dead">Constants!$B$24</definedName>
    <definedName name="tf_sw">Variable_Management!$B$250</definedName>
    <definedName name="tr_sw">Variable_Management!$B$249</definedName>
    <definedName name="tss">Variable_Management!$B$118</definedName>
    <definedName name="UV_fall">Constants!$B$51</definedName>
    <definedName name="UV_I_hyst">Constants!$B$52</definedName>
    <definedName name="UV_rise">Constants!$B$50</definedName>
    <definedName name="Vcc">Constants!$B$55</definedName>
    <definedName name="Vcl">Constants!$B$30</definedName>
    <definedName name="Vd_rect">Variable_Management!$B$264</definedName>
    <definedName name="VIN_33">Variable_Management!$B$33</definedName>
    <definedName name="VIN_max">Variable_Management!$B$9</definedName>
    <definedName name="VIN_min">Variable_Management!$B$7</definedName>
    <definedName name="VIN_nom">Variable_Management!$B$8</definedName>
    <definedName name="VIN_op_max">Constants!$B$62</definedName>
    <definedName name="VIN_op_min">Constants!$B$61</definedName>
    <definedName name="VIN_var">Variable_Management!$B$8</definedName>
    <definedName name="VOUT">Variable_Management!$B$12</definedName>
    <definedName name="VOUT_range">Variable_Management!$B$19</definedName>
    <definedName name="Vout_rip_sel">Variable_Management!$B$106</definedName>
    <definedName name="Vref">Constants!$B$36</definedName>
    <definedName name="Vsl">Constants!$B$28</definedName>
    <definedName name="Vth">Variable_Management!$B$244</definedName>
    <definedName name="VTRK">Variable_Management!$B$142</definedName>
    <definedName name="Vuvlo_off">Variable_Management!$B$123</definedName>
    <definedName name="Vuvlo_on">Variable_Management!$B$122</definedName>
    <definedName name="wp_lf">Loop_Modeling!$B$39</definedName>
    <definedName name="wp_lf_DCM">Loop_Modeling!$B$73</definedName>
    <definedName name="wp_lf_VINmin">Variable_Management!$B$162</definedName>
    <definedName name="wp0_ea">Loop_Modeling!$B$64</definedName>
    <definedName name="wp1_ea">Loop_Modeling!$B$65</definedName>
    <definedName name="wsl">Loop_Modeling!$B$51</definedName>
    <definedName name="wsl_VINmin">Variable_Management!$B$176</definedName>
    <definedName name="wz_ea">Loop_Modeling!$B$63</definedName>
    <definedName name="wz_esr">Loop_Modeling!$B$45</definedName>
    <definedName name="wz_esr_VINmin">Variable_Management!$B$165</definedName>
    <definedName name="wz_rhp">Loop_Modeling!$B$42</definedName>
    <definedName name="wz_RHP_VINmin">Variable_Management!$B$168</definedName>
    <definedName name="wz1_dcm">Loop_Modeling!$B$75</definedName>
    <definedName name="wz2_dcm">Loop_Modeling!$B$77</definedName>
  </definedNames>
  <calcPr calcId="181029"/>
</workbook>
</file>

<file path=xl/calcChain.xml><?xml version="1.0" encoding="utf-8"?>
<calcChain xmlns="http://schemas.openxmlformats.org/spreadsheetml/2006/main">
  <c r="A1" i="7" l="1"/>
  <c r="B78" i="2" l="1"/>
  <c r="B24" i="3" l="1"/>
  <c r="B264" i="2"/>
  <c r="B263" i="2"/>
  <c r="B20" i="2"/>
  <c r="B8" i="2"/>
  <c r="B12" i="2"/>
  <c r="R15" i="4" s="1"/>
  <c r="B7" i="2"/>
  <c r="B3" i="8" s="1"/>
  <c r="B10" i="2"/>
  <c r="B19" i="3" s="1"/>
  <c r="B20" i="3" s="1"/>
  <c r="B23" i="2" s="1"/>
  <c r="H16" i="1" s="1"/>
  <c r="B12" i="3"/>
  <c r="B254" i="2"/>
  <c r="R21" i="4"/>
  <c r="R29" i="4"/>
  <c r="R37" i="4"/>
  <c r="R42" i="4"/>
  <c r="R43" i="4"/>
  <c r="R46" i="4"/>
  <c r="R47" i="4"/>
  <c r="R135" i="4"/>
  <c r="R141" i="4"/>
  <c r="R142" i="4"/>
  <c r="B244" i="2"/>
  <c r="B256" i="2"/>
  <c r="B257" i="2"/>
  <c r="B258" i="2"/>
  <c r="B261" i="2"/>
  <c r="B255" i="2"/>
  <c r="B262" i="2"/>
  <c r="E143" i="2"/>
  <c r="B128" i="2"/>
  <c r="B123" i="2"/>
  <c r="B122" i="2"/>
  <c r="B52" i="3"/>
  <c r="B39" i="2"/>
  <c r="F5" i="8"/>
  <c r="F4" i="8"/>
  <c r="F3" i="8"/>
  <c r="B37" i="3"/>
  <c r="B29" i="5"/>
  <c r="B58" i="3"/>
  <c r="B47" i="3"/>
  <c r="B2" i="6"/>
  <c r="B245" i="2"/>
  <c r="B241" i="2"/>
  <c r="B240" i="2"/>
  <c r="B239" i="2"/>
  <c r="B238" i="2"/>
  <c r="B237" i="2"/>
  <c r="B126" i="2"/>
  <c r="B125" i="2"/>
  <c r="B124" i="2"/>
  <c r="G127" i="2" s="1"/>
  <c r="B118" i="2"/>
  <c r="B116" i="2"/>
  <c r="B220" i="2"/>
  <c r="B180" i="2" s="1"/>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B30" i="5"/>
  <c r="B145" i="2"/>
  <c r="B56" i="5" s="1"/>
  <c r="B147" i="2"/>
  <c r="B57" i="5" s="1"/>
  <c r="B225" i="2"/>
  <c r="B227" i="2"/>
  <c r="B60" i="5" s="1"/>
  <c r="B223" i="2"/>
  <c r="B27" i="5"/>
  <c r="B111" i="2"/>
  <c r="B110" i="2"/>
  <c r="B96" i="2"/>
  <c r="B90" i="2"/>
  <c r="B25" i="5" s="1"/>
  <c r="B26" i="3"/>
  <c r="B28" i="5" s="1"/>
  <c r="B26" i="5"/>
  <c r="B48" i="2"/>
  <c r="B22" i="3"/>
  <c r="B30" i="2"/>
  <c r="B14" i="3"/>
  <c r="B10" i="3"/>
  <c r="B9" i="2"/>
  <c r="B12" i="5" s="1"/>
  <c r="B106" i="2"/>
  <c r="M8" i="4"/>
  <c r="B170" i="2"/>
  <c r="B130" i="2" l="1"/>
  <c r="B131" i="2"/>
  <c r="T8" i="4"/>
  <c r="AT8" i="4" s="1"/>
  <c r="R156" i="4"/>
  <c r="R150" i="4"/>
  <c r="R149" i="4"/>
  <c r="B45" i="5"/>
  <c r="T56" i="5" s="1"/>
  <c r="U56" i="5" s="1"/>
  <c r="B11" i="2"/>
  <c r="H14" i="1" s="1"/>
  <c r="T9" i="4"/>
  <c r="AT9" i="4" s="1"/>
  <c r="T12" i="4"/>
  <c r="AT12" i="4" s="1"/>
  <c r="O9" i="4"/>
  <c r="B16" i="5"/>
  <c r="P15" i="5" s="1"/>
  <c r="T56" i="4"/>
  <c r="AT56" i="4" s="1"/>
  <c r="B4" i="8"/>
  <c r="B11" i="5"/>
  <c r="O7" i="5"/>
  <c r="B205" i="2"/>
  <c r="H54" i="1"/>
  <c r="B135" i="2" s="1"/>
  <c r="J49" i="5"/>
  <c r="T70" i="4"/>
  <c r="AT70" i="4" s="1"/>
  <c r="T62" i="4"/>
  <c r="AT62" i="4" s="1"/>
  <c r="T59" i="4"/>
  <c r="AT59" i="4" s="1"/>
  <c r="R110" i="4"/>
  <c r="R111" i="4"/>
  <c r="R130" i="4"/>
  <c r="R118" i="4"/>
  <c r="R112" i="4"/>
  <c r="R88" i="4"/>
  <c r="R109" i="4"/>
  <c r="R91" i="4"/>
  <c r="R90" i="4"/>
  <c r="R98" i="4"/>
  <c r="R89" i="4"/>
  <c r="R82" i="4"/>
  <c r="R80" i="4"/>
  <c r="R92" i="4"/>
  <c r="R10" i="4"/>
  <c r="R139" i="4"/>
  <c r="R138" i="4"/>
  <c r="R140" i="4"/>
  <c r="R137" i="4"/>
  <c r="R78" i="4"/>
  <c r="R136" i="4"/>
  <c r="R134" i="4"/>
  <c r="R79" i="4"/>
  <c r="R117" i="4"/>
  <c r="R116" i="4"/>
  <c r="R63" i="4"/>
  <c r="R115" i="4"/>
  <c r="R114" i="4"/>
  <c r="R76" i="4"/>
  <c r="R113" i="4"/>
  <c r="R102" i="4"/>
  <c r="R75" i="4"/>
  <c r="R133" i="4"/>
  <c r="R101" i="4"/>
  <c r="R74" i="4"/>
  <c r="R7" i="4"/>
  <c r="R132" i="4"/>
  <c r="R100" i="4"/>
  <c r="R157" i="4"/>
  <c r="R131" i="4"/>
  <c r="R99" i="4"/>
  <c r="R64" i="4"/>
  <c r="B19" i="2"/>
  <c r="B139" i="2" s="1"/>
  <c r="R155" i="4"/>
  <c r="R129" i="4"/>
  <c r="R97" i="4"/>
  <c r="R154" i="4"/>
  <c r="R122" i="4"/>
  <c r="R96" i="4"/>
  <c r="R62" i="4"/>
  <c r="R153" i="4"/>
  <c r="R121" i="4"/>
  <c r="R95" i="4"/>
  <c r="R59" i="4"/>
  <c r="R152" i="4"/>
  <c r="R120" i="4"/>
  <c r="R94" i="4"/>
  <c r="R151" i="4"/>
  <c r="R119" i="4"/>
  <c r="R93" i="4"/>
  <c r="B207" i="2"/>
  <c r="B210" i="2" s="1"/>
  <c r="B48" i="5"/>
  <c r="R147" i="4"/>
  <c r="R127" i="4"/>
  <c r="R107" i="4"/>
  <c r="R87" i="4"/>
  <c r="R148" i="4"/>
  <c r="R128" i="4"/>
  <c r="R108" i="4"/>
  <c r="R58" i="4"/>
  <c r="R146" i="4"/>
  <c r="R126" i="4"/>
  <c r="R106" i="4"/>
  <c r="R86" i="4"/>
  <c r="R145" i="4"/>
  <c r="R125" i="4"/>
  <c r="R105" i="4"/>
  <c r="R85" i="4"/>
  <c r="R54" i="4"/>
  <c r="R55" i="4"/>
  <c r="R144" i="4"/>
  <c r="R124" i="4"/>
  <c r="R104" i="4"/>
  <c r="R84" i="4"/>
  <c r="R51" i="4"/>
  <c r="B19" i="5"/>
  <c r="R143" i="4"/>
  <c r="R123" i="4"/>
  <c r="R103" i="4"/>
  <c r="R83" i="4"/>
  <c r="R50" i="4"/>
  <c r="B129" i="2"/>
  <c r="O8" i="5"/>
  <c r="B127" i="2"/>
  <c r="H48" i="1" s="1"/>
  <c r="B13" i="5"/>
  <c r="B51" i="5"/>
  <c r="B176" i="2"/>
  <c r="B173" i="2"/>
  <c r="T139" i="4"/>
  <c r="AT139" i="4" s="1"/>
  <c r="T122" i="4"/>
  <c r="AT122" i="4" s="1"/>
  <c r="T138" i="4"/>
  <c r="AT138" i="4" s="1"/>
  <c r="T123" i="4"/>
  <c r="AT123" i="4" s="1"/>
  <c r="T154" i="4"/>
  <c r="AT154" i="4" s="1"/>
  <c r="T151" i="4"/>
  <c r="AT151" i="4" s="1"/>
  <c r="T146" i="4"/>
  <c r="AT146" i="4" s="1"/>
  <c r="T143" i="4"/>
  <c r="AT143" i="4" s="1"/>
  <c r="T134" i="4"/>
  <c r="AT134" i="4" s="1"/>
  <c r="T127" i="4"/>
  <c r="AT127" i="4" s="1"/>
  <c r="T118" i="4"/>
  <c r="AT118" i="4" s="1"/>
  <c r="T100" i="4"/>
  <c r="AT100" i="4" s="1"/>
  <c r="T93" i="4"/>
  <c r="AT93" i="4" s="1"/>
  <c r="T46" i="4"/>
  <c r="AT46" i="4" s="1"/>
  <c r="T40" i="4"/>
  <c r="AT40" i="4" s="1"/>
  <c r="T22" i="4"/>
  <c r="AT22" i="4" s="1"/>
  <c r="T155" i="4"/>
  <c r="AT155" i="4" s="1"/>
  <c r="T150" i="4"/>
  <c r="AT150" i="4" s="1"/>
  <c r="T147" i="4"/>
  <c r="AT147" i="4" s="1"/>
  <c r="T109" i="4"/>
  <c r="AT109" i="4" s="1"/>
  <c r="T84" i="4"/>
  <c r="AT84" i="4" s="1"/>
  <c r="T80" i="4"/>
  <c r="AT80" i="4" s="1"/>
  <c r="T76" i="4"/>
  <c r="AT76" i="4" s="1"/>
  <c r="T43" i="4"/>
  <c r="AT43" i="4" s="1"/>
  <c r="T37" i="4"/>
  <c r="AT37" i="4" s="1"/>
  <c r="T19" i="4"/>
  <c r="AT19" i="4" s="1"/>
  <c r="T7" i="4"/>
  <c r="AT7" i="4" s="1"/>
  <c r="T132" i="4"/>
  <c r="AT132" i="4" s="1"/>
  <c r="T129" i="4"/>
  <c r="AT129" i="4" s="1"/>
  <c r="T116" i="4"/>
  <c r="AT116" i="4" s="1"/>
  <c r="T113" i="4"/>
  <c r="AT113" i="4" s="1"/>
  <c r="T107" i="4"/>
  <c r="AT107" i="4" s="1"/>
  <c r="T91" i="4"/>
  <c r="AT91" i="4" s="1"/>
  <c r="T74" i="4"/>
  <c r="AT74" i="4" s="1"/>
  <c r="T64" i="4"/>
  <c r="AT64" i="4" s="1"/>
  <c r="T51" i="4"/>
  <c r="AT51" i="4" s="1"/>
  <c r="T33" i="4"/>
  <c r="AT33" i="4" s="1"/>
  <c r="T141" i="4"/>
  <c r="AT141" i="4" s="1"/>
  <c r="T136" i="4"/>
  <c r="AT136" i="4" s="1"/>
  <c r="T125" i="4"/>
  <c r="AT125" i="4" s="1"/>
  <c r="T120" i="4"/>
  <c r="AT120" i="4" s="1"/>
  <c r="T102" i="4"/>
  <c r="AT102" i="4" s="1"/>
  <c r="T86" i="4"/>
  <c r="AT86" i="4" s="1"/>
  <c r="T67" i="4"/>
  <c r="AT67" i="4" s="1"/>
  <c r="T54" i="4"/>
  <c r="AT54" i="4" s="1"/>
  <c r="T48" i="4"/>
  <c r="AT48" i="4" s="1"/>
  <c r="T26" i="4"/>
  <c r="AT26" i="4" s="1"/>
  <c r="T15" i="4"/>
  <c r="AT15" i="4" s="1"/>
  <c r="B64" i="5"/>
  <c r="AT56" i="5" s="1"/>
  <c r="B10" i="5"/>
  <c r="B165" i="2"/>
  <c r="B166" i="2" s="1"/>
  <c r="B119" i="2"/>
  <c r="H43" i="1" s="1"/>
  <c r="B63" i="5"/>
  <c r="AZ20" i="5" s="1"/>
  <c r="B58" i="5"/>
  <c r="B65" i="5"/>
  <c r="T156" i="4"/>
  <c r="AT156" i="4" s="1"/>
  <c r="T152" i="4"/>
  <c r="AT152" i="4" s="1"/>
  <c r="T148" i="4"/>
  <c r="AT148" i="4" s="1"/>
  <c r="T144" i="4"/>
  <c r="AT144" i="4" s="1"/>
  <c r="T137" i="4"/>
  <c r="AT137" i="4" s="1"/>
  <c r="T135" i="4"/>
  <c r="AT135" i="4" s="1"/>
  <c r="T130" i="4"/>
  <c r="AT130" i="4" s="1"/>
  <c r="T128" i="4"/>
  <c r="AT128" i="4" s="1"/>
  <c r="T121" i="4"/>
  <c r="AT121" i="4" s="1"/>
  <c r="T119" i="4"/>
  <c r="AT119" i="4" s="1"/>
  <c r="T114" i="4"/>
  <c r="AT114" i="4" s="1"/>
  <c r="T112" i="4"/>
  <c r="AT112" i="4" s="1"/>
  <c r="T105" i="4"/>
  <c r="AT105" i="4" s="1"/>
  <c r="T103" i="4"/>
  <c r="AT103" i="4" s="1"/>
  <c r="T98" i="4"/>
  <c r="AT98" i="4" s="1"/>
  <c r="T96" i="4"/>
  <c r="AT96" i="4" s="1"/>
  <c r="T89" i="4"/>
  <c r="AT89" i="4" s="1"/>
  <c r="T87" i="4"/>
  <c r="AT87" i="4" s="1"/>
  <c r="T82" i="4"/>
  <c r="AT82" i="4" s="1"/>
  <c r="T78" i="4"/>
  <c r="AT78" i="4" s="1"/>
  <c r="T73" i="4"/>
  <c r="AT73" i="4" s="1"/>
  <c r="T66" i="4"/>
  <c r="AT66" i="4" s="1"/>
  <c r="T61" i="4"/>
  <c r="AT61" i="4" s="1"/>
  <c r="T53" i="4"/>
  <c r="AT53" i="4" s="1"/>
  <c r="T45" i="4"/>
  <c r="AT45" i="4" s="1"/>
  <c r="T39" i="4"/>
  <c r="AT39" i="4" s="1"/>
  <c r="T36" i="4"/>
  <c r="AT36" i="4" s="1"/>
  <c r="T32" i="4"/>
  <c r="AT32" i="4" s="1"/>
  <c r="T29" i="4"/>
  <c r="AT29" i="4" s="1"/>
  <c r="T25" i="4"/>
  <c r="AT25" i="4" s="1"/>
  <c r="T18" i="4"/>
  <c r="AT18" i="4" s="1"/>
  <c r="T14" i="4"/>
  <c r="AT14" i="4" s="1"/>
  <c r="T11" i="4"/>
  <c r="AT11" i="4" s="1"/>
  <c r="T157" i="4"/>
  <c r="AT157" i="4" s="1"/>
  <c r="T153" i="4"/>
  <c r="AT153" i="4" s="1"/>
  <c r="T149" i="4"/>
  <c r="AT149" i="4" s="1"/>
  <c r="T145" i="4"/>
  <c r="AT145" i="4" s="1"/>
  <c r="T142" i="4"/>
  <c r="AT142" i="4" s="1"/>
  <c r="T140" i="4"/>
  <c r="AT140" i="4" s="1"/>
  <c r="T133" i="4"/>
  <c r="AT133" i="4" s="1"/>
  <c r="T131" i="4"/>
  <c r="AT131" i="4" s="1"/>
  <c r="T126" i="4"/>
  <c r="AT126" i="4" s="1"/>
  <c r="T124" i="4"/>
  <c r="AT124" i="4" s="1"/>
  <c r="T117" i="4"/>
  <c r="AT117" i="4" s="1"/>
  <c r="T115" i="4"/>
  <c r="AT115" i="4" s="1"/>
  <c r="T110" i="4"/>
  <c r="AT110" i="4" s="1"/>
  <c r="T108" i="4"/>
  <c r="AT108" i="4" s="1"/>
  <c r="T101" i="4"/>
  <c r="AT101" i="4" s="1"/>
  <c r="T99" i="4"/>
  <c r="AT99" i="4" s="1"/>
  <c r="T94" i="4"/>
  <c r="AT94" i="4" s="1"/>
  <c r="T92" i="4"/>
  <c r="AT92" i="4" s="1"/>
  <c r="T85" i="4"/>
  <c r="AT85" i="4" s="1"/>
  <c r="T83" i="4"/>
  <c r="AT83" i="4" s="1"/>
  <c r="T81" i="4"/>
  <c r="AT81" i="4" s="1"/>
  <c r="T77" i="4"/>
  <c r="AT77" i="4" s="1"/>
  <c r="T75" i="4"/>
  <c r="AT75" i="4" s="1"/>
  <c r="T72" i="4"/>
  <c r="AT72" i="4" s="1"/>
  <c r="T69" i="4"/>
  <c r="AT69" i="4" s="1"/>
  <c r="T65" i="4"/>
  <c r="AT65" i="4" s="1"/>
  <c r="T63" i="4"/>
  <c r="AT63" i="4" s="1"/>
  <c r="T60" i="4"/>
  <c r="AT60" i="4" s="1"/>
  <c r="T58" i="4"/>
  <c r="AT58" i="4" s="1"/>
  <c r="T55" i="4"/>
  <c r="AT55" i="4" s="1"/>
  <c r="T52" i="4"/>
  <c r="AT52" i="4" s="1"/>
  <c r="T50" i="4"/>
  <c r="AT50" i="4" s="1"/>
  <c r="T47" i="4"/>
  <c r="AT47" i="4" s="1"/>
  <c r="T44" i="4"/>
  <c r="AT44" i="4" s="1"/>
  <c r="T42" i="4"/>
  <c r="AT42" i="4" s="1"/>
  <c r="T38" i="4"/>
  <c r="AT38" i="4" s="1"/>
  <c r="T35" i="4"/>
  <c r="AT35" i="4" s="1"/>
  <c r="T31" i="4"/>
  <c r="AT31" i="4" s="1"/>
  <c r="T28" i="4"/>
  <c r="AT28" i="4" s="1"/>
  <c r="T24" i="4"/>
  <c r="AT24" i="4" s="1"/>
  <c r="T21" i="4"/>
  <c r="AT21" i="4" s="1"/>
  <c r="T17" i="4"/>
  <c r="AT17" i="4" s="1"/>
  <c r="T111" i="4"/>
  <c r="AT111" i="4" s="1"/>
  <c r="T106" i="4"/>
  <c r="AT106" i="4" s="1"/>
  <c r="T104" i="4"/>
  <c r="AT104" i="4" s="1"/>
  <c r="T97" i="4"/>
  <c r="AT97" i="4" s="1"/>
  <c r="T95" i="4"/>
  <c r="AT95" i="4" s="1"/>
  <c r="T90" i="4"/>
  <c r="AT90" i="4" s="1"/>
  <c r="T88" i="4"/>
  <c r="AT88" i="4" s="1"/>
  <c r="T79" i="4"/>
  <c r="AT79" i="4" s="1"/>
  <c r="T71" i="4"/>
  <c r="AT71" i="4" s="1"/>
  <c r="T68" i="4"/>
  <c r="AT68" i="4" s="1"/>
  <c r="T57" i="4"/>
  <c r="AT57" i="4" s="1"/>
  <c r="T49" i="4"/>
  <c r="AT49" i="4" s="1"/>
  <c r="T41" i="4"/>
  <c r="AT41" i="4" s="1"/>
  <c r="T34" i="4"/>
  <c r="AT34" i="4" s="1"/>
  <c r="T30" i="4"/>
  <c r="AT30" i="4" s="1"/>
  <c r="T27" i="4"/>
  <c r="AT27" i="4" s="1"/>
  <c r="T23" i="4"/>
  <c r="AT23" i="4" s="1"/>
  <c r="T20" i="4"/>
  <c r="AT20" i="4" s="1"/>
  <c r="T16" i="4"/>
  <c r="AT16" i="4" s="1"/>
  <c r="T13" i="4"/>
  <c r="AT13" i="4" s="1"/>
  <c r="T10" i="4"/>
  <c r="AT10" i="4" s="1"/>
  <c r="R72" i="4"/>
  <c r="R70" i="4"/>
  <c r="R68" i="4"/>
  <c r="R66" i="4"/>
  <c r="R23" i="4"/>
  <c r="R71" i="4"/>
  <c r="R67" i="4"/>
  <c r="R31" i="4"/>
  <c r="R8" i="4"/>
  <c r="B32" i="2"/>
  <c r="B33" i="2" s="1"/>
  <c r="R38" i="4"/>
  <c r="R33" i="4"/>
  <c r="R25" i="4"/>
  <c r="R17" i="4"/>
  <c r="R12" i="4"/>
  <c r="R40" i="4"/>
  <c r="R35" i="4"/>
  <c r="R27" i="4"/>
  <c r="R19" i="4"/>
  <c r="K8" i="2"/>
  <c r="B199" i="2"/>
  <c r="B200" i="2" s="1"/>
  <c r="T24" i="5"/>
  <c r="U24" i="5" s="1"/>
  <c r="T64" i="5"/>
  <c r="T30" i="5"/>
  <c r="T105" i="5"/>
  <c r="T117" i="5"/>
  <c r="T181" i="5"/>
  <c r="V181" i="5" s="1"/>
  <c r="T516" i="5"/>
  <c r="T475" i="5"/>
  <c r="U475" i="5" s="1"/>
  <c r="T23" i="5"/>
  <c r="T65" i="5"/>
  <c r="T71" i="5"/>
  <c r="T198" i="5"/>
  <c r="T388" i="5"/>
  <c r="T357" i="5"/>
  <c r="T507" i="5"/>
  <c r="T533" i="5"/>
  <c r="T495" i="5"/>
  <c r="U495" i="5" s="1"/>
  <c r="B5" i="8"/>
  <c r="E28" i="2"/>
  <c r="B59" i="5"/>
  <c r="G126" i="2"/>
  <c r="B148" i="2"/>
  <c r="B75" i="5"/>
  <c r="AJ56" i="5" s="1"/>
  <c r="R60" i="4"/>
  <c r="R56" i="4"/>
  <c r="R52" i="4"/>
  <c r="R48" i="4"/>
  <c r="R44" i="4"/>
  <c r="R36" i="4"/>
  <c r="R34" i="4"/>
  <c r="R32" i="4"/>
  <c r="R30" i="4"/>
  <c r="R13" i="4"/>
  <c r="R11" i="4"/>
  <c r="R9" i="4"/>
  <c r="R81" i="4"/>
  <c r="R77" i="4"/>
  <c r="R73" i="4"/>
  <c r="R69" i="4"/>
  <c r="R65" i="4"/>
  <c r="R61" i="4"/>
  <c r="R57" i="4"/>
  <c r="R53" i="4"/>
  <c r="R49" i="4"/>
  <c r="R45" i="4"/>
  <c r="R41" i="4"/>
  <c r="R39" i="4"/>
  <c r="R28" i="4"/>
  <c r="R26" i="4"/>
  <c r="R24" i="4"/>
  <c r="R22" i="4"/>
  <c r="R20" i="4"/>
  <c r="R18" i="4"/>
  <c r="R16" i="4"/>
  <c r="R14" i="4"/>
  <c r="B22" i="2"/>
  <c r="AS10" i="4"/>
  <c r="AS34" i="4"/>
  <c r="AS46" i="4"/>
  <c r="AS54" i="4"/>
  <c r="AS58" i="4"/>
  <c r="AS66" i="4"/>
  <c r="AS74" i="4"/>
  <c r="AS82" i="4"/>
  <c r="AS90" i="4"/>
  <c r="AS98" i="4"/>
  <c r="AS102" i="4"/>
  <c r="AS110" i="4"/>
  <c r="AS118" i="4"/>
  <c r="AS126" i="4"/>
  <c r="AS134" i="4"/>
  <c r="AS142" i="4"/>
  <c r="AS150" i="4"/>
  <c r="AS7" i="4"/>
  <c r="AS148" i="4"/>
  <c r="AS11" i="4"/>
  <c r="AS15" i="4"/>
  <c r="AS19" i="4"/>
  <c r="AS23" i="4"/>
  <c r="AS27" i="4"/>
  <c r="AS31" i="4"/>
  <c r="AS35" i="4"/>
  <c r="AS39" i="4"/>
  <c r="AS43" i="4"/>
  <c r="AS47" i="4"/>
  <c r="AS51" i="4"/>
  <c r="AS55" i="4"/>
  <c r="AS59" i="4"/>
  <c r="AS63" i="4"/>
  <c r="AS67" i="4"/>
  <c r="AS71" i="4"/>
  <c r="AS75" i="4"/>
  <c r="AS79" i="4"/>
  <c r="AS83" i="4"/>
  <c r="AS87" i="4"/>
  <c r="AS91" i="4"/>
  <c r="AS95" i="4"/>
  <c r="AS99" i="4"/>
  <c r="AS103" i="4"/>
  <c r="AS107" i="4"/>
  <c r="AS111" i="4"/>
  <c r="AS115" i="4"/>
  <c r="AS119" i="4"/>
  <c r="AS123" i="4"/>
  <c r="AS127" i="4"/>
  <c r="AS131" i="4"/>
  <c r="AS135" i="4"/>
  <c r="AS139" i="4"/>
  <c r="AS143" i="4"/>
  <c r="AS147" i="4"/>
  <c r="AS151" i="4"/>
  <c r="AS155" i="4"/>
  <c r="AS12" i="4"/>
  <c r="AS16" i="4"/>
  <c r="AS20" i="4"/>
  <c r="AS24" i="4"/>
  <c r="AS28" i="4"/>
  <c r="AS36" i="4"/>
  <c r="AS40" i="4"/>
  <c r="AS48" i="4"/>
  <c r="AS56" i="4"/>
  <c r="AS60" i="4"/>
  <c r="AS68" i="4"/>
  <c r="AS76" i="4"/>
  <c r="AS84" i="4"/>
  <c r="AS88" i="4"/>
  <c r="AS96" i="4"/>
  <c r="AS104" i="4"/>
  <c r="AS108" i="4"/>
  <c r="AS116" i="4"/>
  <c r="AS124" i="4"/>
  <c r="AS128" i="4"/>
  <c r="AS136" i="4"/>
  <c r="AS152" i="4"/>
  <c r="AS8" i="4"/>
  <c r="AS32" i="4"/>
  <c r="AS44" i="4"/>
  <c r="AS52" i="4"/>
  <c r="AS64" i="4"/>
  <c r="AS72" i="4"/>
  <c r="AS80" i="4"/>
  <c r="AS92" i="4"/>
  <c r="AS100" i="4"/>
  <c r="AS112" i="4"/>
  <c r="AS120" i="4"/>
  <c r="AS132" i="4"/>
  <c r="AS144" i="4"/>
  <c r="AS9" i="4"/>
  <c r="AS13" i="4"/>
  <c r="AS17" i="4"/>
  <c r="AS21" i="4"/>
  <c r="AS25" i="4"/>
  <c r="AS29" i="4"/>
  <c r="AS33" i="4"/>
  <c r="AS37" i="4"/>
  <c r="AS41" i="4"/>
  <c r="AS45" i="4"/>
  <c r="AS49" i="4"/>
  <c r="AS53" i="4"/>
  <c r="AS57" i="4"/>
  <c r="AS61" i="4"/>
  <c r="AS65" i="4"/>
  <c r="AS69" i="4"/>
  <c r="AS73" i="4"/>
  <c r="AS77" i="4"/>
  <c r="AS81" i="4"/>
  <c r="AS85" i="4"/>
  <c r="AS89" i="4"/>
  <c r="AS93" i="4"/>
  <c r="AS97" i="4"/>
  <c r="AS101" i="4"/>
  <c r="AS105" i="4"/>
  <c r="AS109" i="4"/>
  <c r="AS113" i="4"/>
  <c r="AS117" i="4"/>
  <c r="AS121" i="4"/>
  <c r="AS125" i="4"/>
  <c r="AS129" i="4"/>
  <c r="AS133" i="4"/>
  <c r="AS137" i="4"/>
  <c r="AS141" i="4"/>
  <c r="AS145" i="4"/>
  <c r="AS149" i="4"/>
  <c r="AS153" i="4"/>
  <c r="AS157" i="4"/>
  <c r="AS14" i="4"/>
  <c r="AS18" i="4"/>
  <c r="AS22" i="4"/>
  <c r="AS26" i="4"/>
  <c r="AS30" i="4"/>
  <c r="AS38" i="4"/>
  <c r="AS42" i="4"/>
  <c r="AS50" i="4"/>
  <c r="AS62" i="4"/>
  <c r="AS70" i="4"/>
  <c r="AS78" i="4"/>
  <c r="AS86" i="4"/>
  <c r="AS94" i="4"/>
  <c r="AS106" i="4"/>
  <c r="AS114" i="4"/>
  <c r="AS122" i="4"/>
  <c r="AS130" i="4"/>
  <c r="AS138" i="4"/>
  <c r="AS146" i="4"/>
  <c r="AS154" i="4"/>
  <c r="AS140" i="4"/>
  <c r="AS156" i="4"/>
  <c r="T503" i="5" l="1"/>
  <c r="T336" i="5"/>
  <c r="T338" i="5"/>
  <c r="T188" i="5"/>
  <c r="T538" i="5"/>
  <c r="T161" i="5"/>
  <c r="V161" i="5" s="1"/>
  <c r="T369" i="5"/>
  <c r="T376" i="5"/>
  <c r="T280" i="5"/>
  <c r="T521" i="5"/>
  <c r="U521" i="5" s="1"/>
  <c r="T403" i="5"/>
  <c r="V403" i="5" s="1"/>
  <c r="T281" i="5"/>
  <c r="T231" i="5"/>
  <c r="U231" i="5" s="1"/>
  <c r="T361" i="5"/>
  <c r="T427" i="5"/>
  <c r="T530" i="5"/>
  <c r="T206" i="5"/>
  <c r="V206" i="5" s="1"/>
  <c r="T316" i="5"/>
  <c r="V316" i="5" s="1"/>
  <c r="T164" i="5"/>
  <c r="T158" i="5"/>
  <c r="V158" i="5" s="1"/>
  <c r="T293" i="5"/>
  <c r="T261" i="5"/>
  <c r="T241" i="5"/>
  <c r="T284" i="5"/>
  <c r="T194" i="5"/>
  <c r="T351" i="5"/>
  <c r="T326" i="5"/>
  <c r="V326" i="5" s="1"/>
  <c r="T185" i="5"/>
  <c r="T299" i="5"/>
  <c r="U299" i="5" s="1"/>
  <c r="T337" i="5"/>
  <c r="V337" i="5" s="1"/>
  <c r="T286" i="5"/>
  <c r="U286" i="5" s="1"/>
  <c r="T354" i="5"/>
  <c r="V354" i="5" s="1"/>
  <c r="T384" i="5"/>
  <c r="U384" i="5" s="1"/>
  <c r="T268" i="5"/>
  <c r="V268" i="5" s="1"/>
  <c r="T172" i="5"/>
  <c r="U172" i="5" s="1"/>
  <c r="T544" i="5"/>
  <c r="U544" i="5" s="1"/>
  <c r="T401" i="5"/>
  <c r="U401" i="5" s="1"/>
  <c r="T360" i="5"/>
  <c r="U360" i="5" s="1"/>
  <c r="T519" i="5"/>
  <c r="V519" i="5" s="1"/>
  <c r="T323" i="5"/>
  <c r="V323" i="5" s="1"/>
  <c r="T255" i="5"/>
  <c r="U255" i="5" s="1"/>
  <c r="T115" i="5"/>
  <c r="T289" i="5"/>
  <c r="T319" i="5"/>
  <c r="T143" i="5"/>
  <c r="T156" i="5"/>
  <c r="V156" i="5" s="1"/>
  <c r="T191" i="5"/>
  <c r="U191" i="5" s="1"/>
  <c r="T186" i="5"/>
  <c r="T75" i="5"/>
  <c r="U75" i="5" s="1"/>
  <c r="T102" i="5"/>
  <c r="V102" i="5" s="1"/>
  <c r="T87" i="5"/>
  <c r="V87" i="5" s="1"/>
  <c r="T163" i="5"/>
  <c r="V163" i="5" s="1"/>
  <c r="T419" i="5"/>
  <c r="V419" i="5" s="1"/>
  <c r="T55" i="5"/>
  <c r="V55" i="5" s="1"/>
  <c r="T410" i="5"/>
  <c r="V410" i="5" s="1"/>
  <c r="T124" i="5"/>
  <c r="V124" i="5" s="1"/>
  <c r="T81" i="5"/>
  <c r="U81" i="5" s="1"/>
  <c r="T101" i="5"/>
  <c r="V101" i="5" s="1"/>
  <c r="T58" i="5"/>
  <c r="U58" i="5" s="1"/>
  <c r="T310" i="5"/>
  <c r="V310" i="5" s="1"/>
  <c r="T556" i="5"/>
  <c r="U556" i="5" s="1"/>
  <c r="T366" i="5"/>
  <c r="U366" i="5" s="1"/>
  <c r="T19" i="5"/>
  <c r="T29" i="5"/>
  <c r="T33" i="5"/>
  <c r="T74" i="5"/>
  <c r="U74" i="5" s="1"/>
  <c r="T506" i="5"/>
  <c r="V506" i="5" s="1"/>
  <c r="T269" i="5"/>
  <c r="T502" i="5"/>
  <c r="U502" i="5" s="1"/>
  <c r="T438" i="5"/>
  <c r="U438" i="5" s="1"/>
  <c r="T334" i="5"/>
  <c r="V334" i="5" s="1"/>
  <c r="T553" i="5"/>
  <c r="V553" i="5" s="1"/>
  <c r="T390" i="5"/>
  <c r="V390" i="5" s="1"/>
  <c r="T46" i="5"/>
  <c r="U46" i="5" s="1"/>
  <c r="T85" i="5"/>
  <c r="V85" i="5" s="1"/>
  <c r="T423" i="5"/>
  <c r="U423" i="5" s="1"/>
  <c r="T487" i="5"/>
  <c r="V487" i="5" s="1"/>
  <c r="T313" i="5"/>
  <c r="V313" i="5" s="1"/>
  <c r="T469" i="5"/>
  <c r="V469" i="5" s="1"/>
  <c r="T499" i="5"/>
  <c r="V499" i="5" s="1"/>
  <c r="T318" i="5"/>
  <c r="V318" i="5" s="1"/>
  <c r="T508" i="5"/>
  <c r="U508" i="5" s="1"/>
  <c r="T257" i="5"/>
  <c r="T341" i="5"/>
  <c r="T304" i="5"/>
  <c r="T370" i="5"/>
  <c r="T153" i="5"/>
  <c r="V153" i="5" s="1"/>
  <c r="T493" i="5"/>
  <c r="T429" i="5"/>
  <c r="U429" i="5" s="1"/>
  <c r="T211" i="5"/>
  <c r="U211" i="5" s="1"/>
  <c r="T547" i="5"/>
  <c r="V547" i="5" s="1"/>
  <c r="T559" i="5"/>
  <c r="U559" i="5" s="1"/>
  <c r="T222" i="5"/>
  <c r="U222" i="5" s="1"/>
  <c r="T461" i="5"/>
  <c r="U461" i="5" s="1"/>
  <c r="T355" i="5"/>
  <c r="V355" i="5" s="1"/>
  <c r="T219" i="5"/>
  <c r="V219" i="5" s="1"/>
  <c r="T500" i="5"/>
  <c r="V500" i="5" s="1"/>
  <c r="T415" i="5"/>
  <c r="V415" i="5" s="1"/>
  <c r="T203" i="5"/>
  <c r="U203" i="5" s="1"/>
  <c r="AW7" i="5"/>
  <c r="T53" i="5"/>
  <c r="V53" i="5" s="1"/>
  <c r="T486" i="5"/>
  <c r="V486" i="5" s="1"/>
  <c r="T34" i="5"/>
  <c r="T534" i="5"/>
  <c r="T392" i="5"/>
  <c r="T470" i="5"/>
  <c r="U470" i="5" s="1"/>
  <c r="T39" i="5"/>
  <c r="U39" i="5" s="1"/>
  <c r="T543" i="5"/>
  <c r="U543" i="5" s="1"/>
  <c r="T352" i="5"/>
  <c r="V352" i="5" s="1"/>
  <c r="T541" i="5"/>
  <c r="U541" i="5" s="1"/>
  <c r="T445" i="5"/>
  <c r="V445" i="5" s="1"/>
  <c r="T373" i="5"/>
  <c r="V373" i="5" s="1"/>
  <c r="T110" i="5"/>
  <c r="U110" i="5" s="1"/>
  <c r="T120" i="5"/>
  <c r="V120" i="5" s="1"/>
  <c r="T439" i="5"/>
  <c r="U439" i="5" s="1"/>
  <c r="T249" i="5"/>
  <c r="U249" i="5" s="1"/>
  <c r="T324" i="5"/>
  <c r="U324" i="5" s="1"/>
  <c r="T245" i="5"/>
  <c r="U245" i="5" s="1"/>
  <c r="T26" i="5"/>
  <c r="U26" i="5" s="1"/>
  <c r="T57" i="5"/>
  <c r="U57" i="5" s="1"/>
  <c r="T129" i="5"/>
  <c r="V129" i="5" s="1"/>
  <c r="T478" i="5"/>
  <c r="U478" i="5" s="1"/>
  <c r="T106" i="5"/>
  <c r="T93" i="5"/>
  <c r="T95" i="5"/>
  <c r="T157" i="5"/>
  <c r="V157" i="5" s="1"/>
  <c r="T212" i="5"/>
  <c r="V212" i="5" s="1"/>
  <c r="T494" i="5"/>
  <c r="T510" i="5"/>
  <c r="U510" i="5" s="1"/>
  <c r="T529" i="5"/>
  <c r="U529" i="5" s="1"/>
  <c r="T550" i="5"/>
  <c r="V550" i="5" s="1"/>
  <c r="T275" i="5"/>
  <c r="U275" i="5" s="1"/>
  <c r="T72" i="5"/>
  <c r="U72" i="5" s="1"/>
  <c r="T86" i="5"/>
  <c r="V86" i="5" s="1"/>
  <c r="T422" i="5"/>
  <c r="V422" i="5" s="1"/>
  <c r="T192" i="5"/>
  <c r="U192" i="5" s="1"/>
  <c r="T407" i="5"/>
  <c r="V407" i="5" s="1"/>
  <c r="T224" i="5"/>
  <c r="U224" i="5" s="1"/>
  <c r="T44" i="5"/>
  <c r="U44" i="5" s="1"/>
  <c r="T63" i="5"/>
  <c r="V63" i="5" s="1"/>
  <c r="T177" i="5"/>
  <c r="U177" i="5" s="1"/>
  <c r="T213" i="5"/>
  <c r="U213" i="5" s="1"/>
  <c r="T332" i="5"/>
  <c r="T229" i="5"/>
  <c r="T426" i="5"/>
  <c r="U426" i="5" s="1"/>
  <c r="T132" i="5"/>
  <c r="U132" i="5" s="1"/>
  <c r="T295" i="5"/>
  <c r="T443" i="5"/>
  <c r="T379" i="5"/>
  <c r="V379" i="5" s="1"/>
  <c r="T489" i="5"/>
  <c r="V489" i="5" s="1"/>
  <c r="T346" i="5"/>
  <c r="U346" i="5" s="1"/>
  <c r="T540" i="5"/>
  <c r="U540" i="5" s="1"/>
  <c r="T418" i="5"/>
  <c r="V418" i="5" s="1"/>
  <c r="T78" i="5"/>
  <c r="U78" i="5" s="1"/>
  <c r="T165" i="5"/>
  <c r="U165" i="5" s="1"/>
  <c r="T398" i="5"/>
  <c r="V398" i="5" s="1"/>
  <c r="T238" i="5"/>
  <c r="V238" i="5" s="1"/>
  <c r="T375" i="5"/>
  <c r="U375" i="5" s="1"/>
  <c r="T215" i="5"/>
  <c r="V215" i="5" s="1"/>
  <c r="T276" i="5"/>
  <c r="U276" i="5" s="1"/>
  <c r="T67" i="5"/>
  <c r="U67" i="5" s="1"/>
  <c r="T41" i="5"/>
  <c r="U41" i="5" s="1"/>
  <c r="T497" i="5"/>
  <c r="T501" i="5"/>
  <c r="T358" i="5"/>
  <c r="T482" i="5"/>
  <c r="V482" i="5" s="1"/>
  <c r="T342" i="5"/>
  <c r="U342" i="5" s="1"/>
  <c r="T340" i="5"/>
  <c r="T99" i="5"/>
  <c r="U99" i="5" s="1"/>
  <c r="T448" i="5"/>
  <c r="V448" i="5" s="1"/>
  <c r="T147" i="5"/>
  <c r="V147" i="5" s="1"/>
  <c r="T381" i="5"/>
  <c r="V381" i="5" s="1"/>
  <c r="T170" i="5"/>
  <c r="U170" i="5" s="1"/>
  <c r="T199" i="5"/>
  <c r="V199" i="5" s="1"/>
  <c r="T444" i="5"/>
  <c r="U444" i="5" s="1"/>
  <c r="T474" i="5"/>
  <c r="U474" i="5" s="1"/>
  <c r="T517" i="5"/>
  <c r="V517" i="5" s="1"/>
  <c r="T463" i="5"/>
  <c r="V463" i="5" s="1"/>
  <c r="T309" i="5"/>
  <c r="V309" i="5" s="1"/>
  <c r="T424" i="5"/>
  <c r="U424" i="5" s="1"/>
  <c r="T96" i="5"/>
  <c r="V96" i="5" s="1"/>
  <c r="T287" i="5"/>
  <c r="V287" i="5" s="1"/>
  <c r="T113" i="5"/>
  <c r="T364" i="5"/>
  <c r="T133" i="5"/>
  <c r="T150" i="5"/>
  <c r="U150" i="5" s="1"/>
  <c r="T226" i="5"/>
  <c r="U226" i="5" s="1"/>
  <c r="T454" i="5"/>
  <c r="U454" i="5" s="1"/>
  <c r="T496" i="5"/>
  <c r="V496" i="5" s="1"/>
  <c r="T377" i="5"/>
  <c r="V377" i="5" s="1"/>
  <c r="T262" i="5"/>
  <c r="U262" i="5" s="1"/>
  <c r="T405" i="5"/>
  <c r="V405" i="5" s="1"/>
  <c r="T42" i="5"/>
  <c r="U42" i="5" s="1"/>
  <c r="T383" i="5"/>
  <c r="U383" i="5" s="1"/>
  <c r="T90" i="5"/>
  <c r="V90" i="5" s="1"/>
  <c r="T356" i="5"/>
  <c r="V356" i="5" s="1"/>
  <c r="T152" i="5"/>
  <c r="V152" i="5" s="1"/>
  <c r="T223" i="5"/>
  <c r="U223" i="5" s="1"/>
  <c r="T208" i="5"/>
  <c r="U208" i="5" s="1"/>
  <c r="T317" i="5"/>
  <c r="V317" i="5" s="1"/>
  <c r="T440" i="5"/>
  <c r="V440" i="5" s="1"/>
  <c r="T347" i="5"/>
  <c r="V347" i="5" s="1"/>
  <c r="T146" i="5"/>
  <c r="T531" i="5"/>
  <c r="T436" i="5"/>
  <c r="U436" i="5" s="1"/>
  <c r="T140" i="5"/>
  <c r="U140" i="5" s="1"/>
  <c r="T265" i="5"/>
  <c r="V265" i="5" s="1"/>
  <c r="T367" i="5"/>
  <c r="T144" i="5"/>
  <c r="V144" i="5" s="1"/>
  <c r="T311" i="5"/>
  <c r="U311" i="5" s="1"/>
  <c r="T552" i="5"/>
  <c r="V552" i="5" s="1"/>
  <c r="T300" i="5"/>
  <c r="V300" i="5" s="1"/>
  <c r="T532" i="5"/>
  <c r="V532" i="5" s="1"/>
  <c r="T135" i="5"/>
  <c r="V135" i="5" s="1"/>
  <c r="T94" i="5"/>
  <c r="V94" i="5" s="1"/>
  <c r="T114" i="5"/>
  <c r="U114" i="5" s="1"/>
  <c r="T432" i="5"/>
  <c r="V432" i="5" s="1"/>
  <c r="T292" i="5"/>
  <c r="V292" i="5" s="1"/>
  <c r="T168" i="5"/>
  <c r="U168" i="5" s="1"/>
  <c r="T328" i="5"/>
  <c r="U328" i="5" s="1"/>
  <c r="T321" i="5"/>
  <c r="V321" i="5" s="1"/>
  <c r="T251" i="5"/>
  <c r="T107" i="5"/>
  <c r="T350" i="5"/>
  <c r="T479" i="5"/>
  <c r="U479" i="5" s="1"/>
  <c r="T142" i="5"/>
  <c r="U142" i="5" s="1"/>
  <c r="T232" i="5"/>
  <c r="V232" i="5" s="1"/>
  <c r="T166" i="5"/>
  <c r="T220" i="5"/>
  <c r="U220" i="5" s="1"/>
  <c r="T288" i="5"/>
  <c r="V288" i="5" s="1"/>
  <c r="T557" i="5"/>
  <c r="U557" i="5" s="1"/>
  <c r="T264" i="5"/>
  <c r="U264" i="5" s="1"/>
  <c r="T513" i="5"/>
  <c r="V513" i="5" s="1"/>
  <c r="T254" i="5"/>
  <c r="U254" i="5" s="1"/>
  <c r="T92" i="5"/>
  <c r="V92" i="5" s="1"/>
  <c r="T131" i="5"/>
  <c r="V131" i="5" s="1"/>
  <c r="T477" i="5"/>
  <c r="V477" i="5" s="1"/>
  <c r="T473" i="5"/>
  <c r="U473" i="5" s="1"/>
  <c r="T27" i="5"/>
  <c r="V27" i="5" s="1"/>
  <c r="T393" i="5"/>
  <c r="U393" i="5" s="1"/>
  <c r="T446" i="5"/>
  <c r="U446" i="5" s="1"/>
  <c r="T372" i="5"/>
  <c r="U372" i="5" s="1"/>
  <c r="T167" i="5"/>
  <c r="T305" i="5"/>
  <c r="T62" i="5"/>
  <c r="U62" i="5" s="1"/>
  <c r="T368" i="5"/>
  <c r="U368" i="5" s="1"/>
  <c r="T325" i="5"/>
  <c r="U325" i="5" s="1"/>
  <c r="T498" i="5"/>
  <c r="V498" i="5" s="1"/>
  <c r="T345" i="5"/>
  <c r="V345" i="5" s="1"/>
  <c r="T205" i="5"/>
  <c r="U205" i="5" s="1"/>
  <c r="T70" i="5"/>
  <c r="U70" i="5" s="1"/>
  <c r="T201" i="5"/>
  <c r="U201" i="5" s="1"/>
  <c r="T43" i="5"/>
  <c r="V43" i="5" s="1"/>
  <c r="T374" i="5"/>
  <c r="V374" i="5" s="1"/>
  <c r="T434" i="5"/>
  <c r="V434" i="5" s="1"/>
  <c r="T520" i="5"/>
  <c r="U520" i="5" s="1"/>
  <c r="T267" i="5"/>
  <c r="U267" i="5" s="1"/>
  <c r="T416" i="5"/>
  <c r="V416" i="5" s="1"/>
  <c r="T297" i="5"/>
  <c r="V297" i="5" s="1"/>
  <c r="T104" i="5"/>
  <c r="U104" i="5" s="1"/>
  <c r="T290" i="5"/>
  <c r="U290" i="5" s="1"/>
  <c r="T48" i="5"/>
  <c r="U48" i="5" s="1"/>
  <c r="T522" i="5"/>
  <c r="V522" i="5" s="1"/>
  <c r="T302" i="5"/>
  <c r="T456" i="5"/>
  <c r="T283" i="5"/>
  <c r="V283" i="5" s="1"/>
  <c r="T196" i="5"/>
  <c r="V196" i="5" s="1"/>
  <c r="T47" i="5"/>
  <c r="U47" i="5" s="1"/>
  <c r="T183" i="5"/>
  <c r="V183" i="5" s="1"/>
  <c r="T32" i="5"/>
  <c r="V32" i="5" s="1"/>
  <c r="T8" i="5"/>
  <c r="V8" i="5" s="1"/>
  <c r="T327" i="5"/>
  <c r="U327" i="5" s="1"/>
  <c r="T452" i="5"/>
  <c r="U452" i="5" s="1"/>
  <c r="T343" i="5"/>
  <c r="V343" i="5" s="1"/>
  <c r="T49" i="5"/>
  <c r="U49" i="5" s="1"/>
  <c r="T490" i="5"/>
  <c r="U490" i="5" s="1"/>
  <c r="T128" i="5"/>
  <c r="U128" i="5" s="1"/>
  <c r="T322" i="5"/>
  <c r="U322" i="5" s="1"/>
  <c r="T235" i="5"/>
  <c r="U235" i="5" s="1"/>
  <c r="T413" i="5"/>
  <c r="V413" i="5" s="1"/>
  <c r="T119" i="5"/>
  <c r="U119" i="5" s="1"/>
  <c r="T391" i="5"/>
  <c r="V391" i="5" s="1"/>
  <c r="T425" i="5"/>
  <c r="U425" i="5" s="1"/>
  <c r="T551" i="5"/>
  <c r="T259" i="5"/>
  <c r="V259" i="5" s="1"/>
  <c r="T314" i="5"/>
  <c r="V314" i="5" s="1"/>
  <c r="T45" i="5"/>
  <c r="T197" i="5"/>
  <c r="T536" i="5"/>
  <c r="U536" i="5" s="1"/>
  <c r="T396" i="5"/>
  <c r="V396" i="5" s="1"/>
  <c r="T148" i="5"/>
  <c r="V148" i="5" s="1"/>
  <c r="T348" i="5"/>
  <c r="U348" i="5" s="1"/>
  <c r="T306" i="5"/>
  <c r="V306" i="5" s="1"/>
  <c r="T84" i="5"/>
  <c r="U84" i="5" s="1"/>
  <c r="T207" i="5"/>
  <c r="U207" i="5" s="1"/>
  <c r="T121" i="5"/>
  <c r="U121" i="5" s="1"/>
  <c r="T273" i="5"/>
  <c r="V273" i="5" s="1"/>
  <c r="T155" i="5"/>
  <c r="U155" i="5" s="1"/>
  <c r="T539" i="5"/>
  <c r="V539" i="5" s="1"/>
  <c r="T365" i="5"/>
  <c r="V365" i="5" s="1"/>
  <c r="T449" i="5"/>
  <c r="U449" i="5" s="1"/>
  <c r="T244" i="5"/>
  <c r="U244" i="5" s="1"/>
  <c r="T218" i="5"/>
  <c r="U218" i="5" s="1"/>
  <c r="T228" i="5"/>
  <c r="T411" i="5"/>
  <c r="U411" i="5" s="1"/>
  <c r="T109" i="5"/>
  <c r="V109" i="5" s="1"/>
  <c r="T136" i="5"/>
  <c r="U136" i="5" s="1"/>
  <c r="T483" i="5"/>
  <c r="V483" i="5" s="1"/>
  <c r="T523" i="5"/>
  <c r="V523" i="5" s="1"/>
  <c r="T298" i="5"/>
  <c r="U298" i="5" s="1"/>
  <c r="T395" i="5"/>
  <c r="U395" i="5" s="1"/>
  <c r="T412" i="5"/>
  <c r="U412" i="5" s="1"/>
  <c r="T248" i="5"/>
  <c r="U248" i="5" s="1"/>
  <c r="T278" i="5"/>
  <c r="U278" i="5" s="1"/>
  <c r="T21" i="5"/>
  <c r="V21" i="5" s="1"/>
  <c r="T175" i="5"/>
  <c r="V175" i="5" s="1"/>
  <c r="T344" i="5"/>
  <c r="V344" i="5" s="1"/>
  <c r="T380" i="5"/>
  <c r="U380" i="5" s="1"/>
  <c r="T116" i="5"/>
  <c r="V116" i="5" s="1"/>
  <c r="T195" i="5"/>
  <c r="V195" i="5" s="1"/>
  <c r="T282" i="5"/>
  <c r="U282" i="5" s="1"/>
  <c r="T126" i="5"/>
  <c r="U126" i="5" s="1"/>
  <c r="T174" i="5"/>
  <c r="V174" i="5" s="1"/>
  <c r="T37" i="5"/>
  <c r="V37" i="5" s="1"/>
  <c r="T464" i="5"/>
  <c r="U464" i="5" s="1"/>
  <c r="T389" i="5"/>
  <c r="V389" i="5" s="1"/>
  <c r="T217" i="5"/>
  <c r="U217" i="5" s="1"/>
  <c r="T371" i="5"/>
  <c r="T200" i="5"/>
  <c r="U200" i="5" s="1"/>
  <c r="T535" i="5"/>
  <c r="V535" i="5" s="1"/>
  <c r="T472" i="5"/>
  <c r="U472" i="5" s="1"/>
  <c r="T266" i="5"/>
  <c r="V266" i="5" s="1"/>
  <c r="T51" i="5"/>
  <c r="V51" i="5" s="1"/>
  <c r="T214" i="5"/>
  <c r="U214" i="5" s="1"/>
  <c r="T274" i="5"/>
  <c r="V274" i="5" s="1"/>
  <c r="T123" i="5"/>
  <c r="U123" i="5" s="1"/>
  <c r="T250" i="5"/>
  <c r="V250" i="5" s="1"/>
  <c r="T134" i="5"/>
  <c r="T22" i="5"/>
  <c r="U22" i="5" s="1"/>
  <c r="T227" i="5"/>
  <c r="V227" i="5" s="1"/>
  <c r="T397" i="5"/>
  <c r="U397" i="5" s="1"/>
  <c r="T312" i="5"/>
  <c r="U312" i="5" s="1"/>
  <c r="T467" i="5"/>
  <c r="V467" i="5" s="1"/>
  <c r="T112" i="5"/>
  <c r="V112" i="5" s="1"/>
  <c r="T441" i="5"/>
  <c r="V441" i="5" s="1"/>
  <c r="T433" i="5"/>
  <c r="U433" i="5" s="1"/>
  <c r="T202" i="5"/>
  <c r="U202" i="5" s="1"/>
  <c r="T362" i="5"/>
  <c r="V362" i="5" s="1"/>
  <c r="T182" i="5"/>
  <c r="V182" i="5" s="1"/>
  <c r="T524" i="5"/>
  <c r="U524" i="5" s="1"/>
  <c r="T404" i="5"/>
  <c r="U404" i="5" s="1"/>
  <c r="T270" i="5"/>
  <c r="V270" i="5" s="1"/>
  <c r="T480" i="5"/>
  <c r="U480" i="5" s="1"/>
  <c r="T400" i="5"/>
  <c r="V400" i="5" s="1"/>
  <c r="T180" i="5"/>
  <c r="V180" i="5" s="1"/>
  <c r="T139" i="5"/>
  <c r="V139" i="5" s="1"/>
  <c r="T279" i="5"/>
  <c r="U279" i="5" s="1"/>
  <c r="T151" i="5"/>
  <c r="V151" i="5" s="1"/>
  <c r="T38" i="5"/>
  <c r="V38" i="5" s="1"/>
  <c r="T435" i="5"/>
  <c r="V435" i="5" s="1"/>
  <c r="T36" i="5"/>
  <c r="U36" i="5" s="1"/>
  <c r="T455" i="5"/>
  <c r="U455" i="5" s="1"/>
  <c r="T88" i="5"/>
  <c r="U88" i="5" s="1"/>
  <c r="T447" i="5"/>
  <c r="V447" i="5" s="1"/>
  <c r="T484" i="5"/>
  <c r="U484" i="5" s="1"/>
  <c r="T258" i="5"/>
  <c r="T160" i="5"/>
  <c r="V160" i="5" s="1"/>
  <c r="T97" i="5"/>
  <c r="T253" i="5"/>
  <c r="V253" i="5" s="1"/>
  <c r="T68" i="5"/>
  <c r="U68" i="5" s="1"/>
  <c r="T457" i="5"/>
  <c r="V457" i="5" s="1"/>
  <c r="T421" i="5"/>
  <c r="U421" i="5" s="1"/>
  <c r="T122" i="5"/>
  <c r="V122" i="5" s="1"/>
  <c r="T458" i="5"/>
  <c r="V458" i="5" s="1"/>
  <c r="T246" i="5"/>
  <c r="U246" i="5" s="1"/>
  <c r="T204" i="5"/>
  <c r="V204" i="5" s="1"/>
  <c r="T35" i="5"/>
  <c r="U35" i="5" s="1"/>
  <c r="T239" i="5"/>
  <c r="V239" i="5" s="1"/>
  <c r="T83" i="5"/>
  <c r="U83" i="5" s="1"/>
  <c r="AT66" i="5"/>
  <c r="AV66" i="5" s="1"/>
  <c r="AT43" i="5"/>
  <c r="AV43" i="5" s="1"/>
  <c r="T7" i="5"/>
  <c r="V7" i="5" s="1"/>
  <c r="T512" i="5"/>
  <c r="V512" i="5" s="1"/>
  <c r="T437" i="5"/>
  <c r="T233" i="5"/>
  <c r="V233" i="5" s="1"/>
  <c r="T77" i="5"/>
  <c r="V77" i="5" s="1"/>
  <c r="T428" i="5"/>
  <c r="V428" i="5" s="1"/>
  <c r="T315" i="5"/>
  <c r="U315" i="5" s="1"/>
  <c r="T263" i="5"/>
  <c r="U263" i="5" s="1"/>
  <c r="T100" i="5"/>
  <c r="U100" i="5" s="1"/>
  <c r="T69" i="5"/>
  <c r="V69" i="5" s="1"/>
  <c r="T301" i="5"/>
  <c r="V301" i="5" s="1"/>
  <c r="T190" i="5"/>
  <c r="U190" i="5" s="1"/>
  <c r="T91" i="5"/>
  <c r="B46" i="5"/>
  <c r="T515" i="5"/>
  <c r="V515" i="5" s="1"/>
  <c r="T50" i="5"/>
  <c r="V50" i="5" s="1"/>
  <c r="T125" i="5"/>
  <c r="V125" i="5" s="1"/>
  <c r="T330" i="5"/>
  <c r="U330" i="5" s="1"/>
  <c r="T179" i="5"/>
  <c r="V179" i="5" s="1"/>
  <c r="T272" i="5"/>
  <c r="T237" i="5"/>
  <c r="T127" i="5"/>
  <c r="V127" i="5" s="1"/>
  <c r="T406" i="5"/>
  <c r="U406" i="5" s="1"/>
  <c r="T462" i="5"/>
  <c r="U462" i="5" s="1"/>
  <c r="T378" i="5"/>
  <c r="V378" i="5" s="1"/>
  <c r="T193" i="5"/>
  <c r="U193" i="5" s="1"/>
  <c r="T54" i="5"/>
  <c r="V54" i="5" s="1"/>
  <c r="T399" i="5"/>
  <c r="U399" i="5" s="1"/>
  <c r="T335" i="5"/>
  <c r="V335" i="5" s="1"/>
  <c r="T236" i="5"/>
  <c r="U236" i="5" s="1"/>
  <c r="T187" i="5"/>
  <c r="V187" i="5" s="1"/>
  <c r="T61" i="5"/>
  <c r="U61" i="5" s="1"/>
  <c r="T260" i="5"/>
  <c r="U260" i="5" s="1"/>
  <c r="T79" i="5"/>
  <c r="V79" i="5" s="1"/>
  <c r="T98" i="5"/>
  <c r="V98" i="5" s="1"/>
  <c r="T459" i="5"/>
  <c r="U459" i="5" s="1"/>
  <c r="T548" i="5"/>
  <c r="V548" i="5" s="1"/>
  <c r="T460" i="5"/>
  <c r="U460" i="5" s="1"/>
  <c r="T527" i="5"/>
  <c r="U527" i="5" s="1"/>
  <c r="T491" i="5"/>
  <c r="V491" i="5" s="1"/>
  <c r="T558" i="5"/>
  <c r="T453" i="5"/>
  <c r="V453" i="5" s="1"/>
  <c r="T28" i="5"/>
  <c r="U28" i="5" s="1"/>
  <c r="T511" i="5"/>
  <c r="U511" i="5" s="1"/>
  <c r="T141" i="5"/>
  <c r="V141" i="5" s="1"/>
  <c r="T307" i="5"/>
  <c r="U307" i="5" s="1"/>
  <c r="T184" i="5"/>
  <c r="U184" i="5" s="1"/>
  <c r="T409" i="5"/>
  <c r="U409" i="5" s="1"/>
  <c r="T308" i="5"/>
  <c r="V308" i="5" s="1"/>
  <c r="T108" i="5"/>
  <c r="U108" i="5" s="1"/>
  <c r="T554" i="5"/>
  <c r="U554" i="5" s="1"/>
  <c r="T442" i="5"/>
  <c r="V442" i="5" s="1"/>
  <c r="T359" i="5"/>
  <c r="U359" i="5" s="1"/>
  <c r="T234" i="5"/>
  <c r="V234" i="5" s="1"/>
  <c r="T40" i="5"/>
  <c r="V40" i="5" s="1"/>
  <c r="T382" i="5"/>
  <c r="U382" i="5" s="1"/>
  <c r="T320" i="5"/>
  <c r="U320" i="5" s="1"/>
  <c r="T225" i="5"/>
  <c r="V225" i="5" s="1"/>
  <c r="T173" i="5"/>
  <c r="U173" i="5" s="1"/>
  <c r="T80" i="5"/>
  <c r="U80" i="5" s="1"/>
  <c r="T252" i="5"/>
  <c r="T169" i="5"/>
  <c r="T82" i="5"/>
  <c r="U82" i="5" s="1"/>
  <c r="T417" i="5"/>
  <c r="T230" i="5"/>
  <c r="V230" i="5" s="1"/>
  <c r="T555" i="5"/>
  <c r="U555" i="5" s="1"/>
  <c r="T476" i="5"/>
  <c r="V476" i="5" s="1"/>
  <c r="T471" i="5"/>
  <c r="U471" i="5" s="1"/>
  <c r="T333" i="5"/>
  <c r="U333" i="5" s="1"/>
  <c r="T525" i="5"/>
  <c r="U525" i="5" s="1"/>
  <c r="T162" i="5"/>
  <c r="U162" i="5" s="1"/>
  <c r="T450" i="5"/>
  <c r="V450" i="5" s="1"/>
  <c r="T451" i="5"/>
  <c r="T528" i="5"/>
  <c r="U528" i="5" s="1"/>
  <c r="T537" i="5"/>
  <c r="U537" i="5" s="1"/>
  <c r="T509" i="5"/>
  <c r="T485" i="5"/>
  <c r="U485" i="5" s="1"/>
  <c r="T25" i="5"/>
  <c r="U25" i="5" s="1"/>
  <c r="T296" i="5"/>
  <c r="V296" i="5" s="1"/>
  <c r="T111" i="5"/>
  <c r="V111" i="5" s="1"/>
  <c r="T385" i="5"/>
  <c r="U385" i="5" s="1"/>
  <c r="T277" i="5"/>
  <c r="U277" i="5" s="1"/>
  <c r="T60" i="5"/>
  <c r="U60" i="5" s="1"/>
  <c r="T545" i="5"/>
  <c r="U545" i="5" s="1"/>
  <c r="T339" i="5"/>
  <c r="U339" i="5" s="1"/>
  <c r="T329" i="5"/>
  <c r="U329" i="5" s="1"/>
  <c r="T209" i="5"/>
  <c r="U209" i="5" s="1"/>
  <c r="T31" i="5"/>
  <c r="V31" i="5" s="1"/>
  <c r="T363" i="5"/>
  <c r="U363" i="5" s="1"/>
  <c r="T303" i="5"/>
  <c r="V303" i="5" s="1"/>
  <c r="T210" i="5"/>
  <c r="U210" i="5" s="1"/>
  <c r="T149" i="5"/>
  <c r="V149" i="5" s="1"/>
  <c r="T66" i="5"/>
  <c r="V66" i="5" s="1"/>
  <c r="T176" i="5"/>
  <c r="V176" i="5" s="1"/>
  <c r="T118" i="5"/>
  <c r="U118" i="5" s="1"/>
  <c r="T89" i="5"/>
  <c r="V231" i="5"/>
  <c r="T488" i="5"/>
  <c r="U488" i="5" s="1"/>
  <c r="T154" i="5"/>
  <c r="V154" i="5" s="1"/>
  <c r="T546" i="5"/>
  <c r="T408" i="5"/>
  <c r="V408" i="5" s="1"/>
  <c r="T518" i="5"/>
  <c r="V518" i="5" s="1"/>
  <c r="T481" i="5"/>
  <c r="U481" i="5" s="1"/>
  <c r="T549" i="5"/>
  <c r="V549" i="5" s="1"/>
  <c r="T431" i="5"/>
  <c r="U431" i="5" s="1"/>
  <c r="T414" i="5"/>
  <c r="U414" i="5" s="1"/>
  <c r="T256" i="5"/>
  <c r="V256" i="5" s="1"/>
  <c r="T145" i="5"/>
  <c r="V145" i="5" s="1"/>
  <c r="T247" i="5"/>
  <c r="V247" i="5" s="1"/>
  <c r="T240" i="5"/>
  <c r="V240" i="5" s="1"/>
  <c r="T73" i="5"/>
  <c r="V73" i="5" s="1"/>
  <c r="T465" i="5"/>
  <c r="U465" i="5" s="1"/>
  <c r="T505" i="5"/>
  <c r="U505" i="5" s="1"/>
  <c r="T349" i="5"/>
  <c r="U349" i="5" s="1"/>
  <c r="T189" i="5"/>
  <c r="U189" i="5" s="1"/>
  <c r="T504" i="5"/>
  <c r="U504" i="5" s="1"/>
  <c r="T294" i="5"/>
  <c r="U294" i="5" s="1"/>
  <c r="T271" i="5"/>
  <c r="U271" i="5" s="1"/>
  <c r="T243" i="5"/>
  <c r="U243" i="5" s="1"/>
  <c r="T138" i="5"/>
  <c r="U138" i="5" s="1"/>
  <c r="T59" i="5"/>
  <c r="V59" i="5" s="1"/>
  <c r="T221" i="5"/>
  <c r="U221" i="5" s="1"/>
  <c r="T171" i="5"/>
  <c r="U171" i="5" s="1"/>
  <c r="T76" i="5"/>
  <c r="U76" i="5" s="1"/>
  <c r="T492" i="5"/>
  <c r="U492" i="5" s="1"/>
  <c r="T394" i="5"/>
  <c r="U394" i="5" s="1"/>
  <c r="T560" i="5"/>
  <c r="V560" i="5" s="1"/>
  <c r="T420" i="5"/>
  <c r="V420" i="5" s="1"/>
  <c r="T542" i="5"/>
  <c r="V542" i="5" s="1"/>
  <c r="T402" i="5"/>
  <c r="U402" i="5" s="1"/>
  <c r="T514" i="5"/>
  <c r="V514" i="5" s="1"/>
  <c r="T466" i="5"/>
  <c r="U466" i="5" s="1"/>
  <c r="T353" i="5"/>
  <c r="U353" i="5" s="1"/>
  <c r="T291" i="5"/>
  <c r="V291" i="5" s="1"/>
  <c r="T103" i="5"/>
  <c r="U103" i="5" s="1"/>
  <c r="T387" i="5"/>
  <c r="U387" i="5" s="1"/>
  <c r="T216" i="5"/>
  <c r="U216" i="5" s="1"/>
  <c r="T20" i="5"/>
  <c r="V20" i="5" s="1"/>
  <c r="T526" i="5"/>
  <c r="U526" i="5" s="1"/>
  <c r="T430" i="5"/>
  <c r="U430" i="5" s="1"/>
  <c r="T285" i="5"/>
  <c r="U285" i="5" s="1"/>
  <c r="T178" i="5"/>
  <c r="V178" i="5" s="1"/>
  <c r="T468" i="5"/>
  <c r="U468" i="5" s="1"/>
  <c r="T386" i="5"/>
  <c r="V386" i="5" s="1"/>
  <c r="T331" i="5"/>
  <c r="V331" i="5" s="1"/>
  <c r="T159" i="5"/>
  <c r="V159" i="5" s="1"/>
  <c r="T137" i="5"/>
  <c r="U137" i="5" s="1"/>
  <c r="T52" i="5"/>
  <c r="V52" i="5" s="1"/>
  <c r="T242" i="5"/>
  <c r="U242" i="5" s="1"/>
  <c r="T130" i="5"/>
  <c r="U130" i="5" s="1"/>
  <c r="AT93" i="5"/>
  <c r="AV93" i="5" s="1"/>
  <c r="AZ194" i="5"/>
  <c r="BB194" i="5" s="1"/>
  <c r="AT29" i="5"/>
  <c r="AV29" i="5" s="1"/>
  <c r="AT54" i="5"/>
  <c r="AV54" i="5" s="1"/>
  <c r="AT61" i="5"/>
  <c r="AZ211" i="5"/>
  <c r="BB211" i="5" s="1"/>
  <c r="AZ196" i="5"/>
  <c r="AT246" i="5"/>
  <c r="AU246" i="5" s="1"/>
  <c r="AT191" i="5"/>
  <c r="AV191" i="5" s="1"/>
  <c r="AT273" i="5"/>
  <c r="AU273" i="5" s="1"/>
  <c r="AT248" i="5"/>
  <c r="AU248" i="5" s="1"/>
  <c r="AT233" i="5"/>
  <c r="AU233" i="5" s="1"/>
  <c r="AT198" i="5"/>
  <c r="AU198" i="5" s="1"/>
  <c r="AZ173" i="5"/>
  <c r="BB173" i="5" s="1"/>
  <c r="AT7" i="5"/>
  <c r="AV7" i="5" s="1"/>
  <c r="AT218" i="5"/>
  <c r="AU218" i="5" s="1"/>
  <c r="AT183" i="5"/>
  <c r="AV183" i="5" s="1"/>
  <c r="AT175" i="5"/>
  <c r="AV175" i="5" s="1"/>
  <c r="AT84" i="5"/>
  <c r="AV84" i="5" s="1"/>
  <c r="AT165" i="5"/>
  <c r="AV165" i="5" s="1"/>
  <c r="AT156" i="5"/>
  <c r="AU156" i="5" s="1"/>
  <c r="AZ171" i="5"/>
  <c r="BB171" i="5" s="1"/>
  <c r="AT46" i="5"/>
  <c r="AV46" i="5" s="1"/>
  <c r="AZ190" i="5"/>
  <c r="BB190" i="5" s="1"/>
  <c r="AT153" i="5"/>
  <c r="AV153" i="5" s="1"/>
  <c r="AT115" i="5"/>
  <c r="AV115" i="5" s="1"/>
  <c r="AT39" i="5"/>
  <c r="AV39" i="5" s="1"/>
  <c r="AZ164" i="5"/>
  <c r="AT130" i="5"/>
  <c r="AU130" i="5" s="1"/>
  <c r="AT102" i="5"/>
  <c r="AU102" i="5" s="1"/>
  <c r="AT30" i="5"/>
  <c r="AV30" i="5" s="1"/>
  <c r="AT311" i="5"/>
  <c r="AU311" i="5" s="1"/>
  <c r="AT237" i="5"/>
  <c r="AU237" i="5" s="1"/>
  <c r="AT229" i="5"/>
  <c r="AU229" i="5" s="1"/>
  <c r="AT111" i="5"/>
  <c r="AV111" i="5" s="1"/>
  <c r="AT89" i="5"/>
  <c r="AU89" i="5" s="1"/>
  <c r="AT52" i="5"/>
  <c r="AU52" i="5" s="1"/>
  <c r="AZ152" i="5"/>
  <c r="BB152" i="5" s="1"/>
  <c r="AT271" i="5"/>
  <c r="AU271" i="5" s="1"/>
  <c r="AZ158" i="5"/>
  <c r="BA158" i="5" s="1"/>
  <c r="AT295" i="5"/>
  <c r="AV295" i="5" s="1"/>
  <c r="AT286" i="5"/>
  <c r="AU286" i="5" s="1"/>
  <c r="AT249" i="5"/>
  <c r="AV249" i="5" s="1"/>
  <c r="AT324" i="5"/>
  <c r="AV324" i="5" s="1"/>
  <c r="AT91" i="5"/>
  <c r="AV91" i="5" s="1"/>
  <c r="AT62" i="5"/>
  <c r="AU62" i="5" s="1"/>
  <c r="AZ116" i="5"/>
  <c r="AZ140" i="5"/>
  <c r="AZ59" i="5"/>
  <c r="AZ60" i="5"/>
  <c r="BB60" i="5" s="1"/>
  <c r="AZ50" i="5"/>
  <c r="BB50" i="5" s="1"/>
  <c r="AZ35" i="5"/>
  <c r="BB35" i="5" s="1"/>
  <c r="AZ27" i="5"/>
  <c r="BA27" i="5" s="1"/>
  <c r="AZ40" i="5"/>
  <c r="BB40" i="5" s="1"/>
  <c r="AZ22" i="5"/>
  <c r="BB22" i="5" s="1"/>
  <c r="AZ218" i="5"/>
  <c r="BA218" i="5" s="1"/>
  <c r="AZ324" i="5"/>
  <c r="BA324" i="5" s="1"/>
  <c r="AZ299" i="5"/>
  <c r="BA299" i="5" s="1"/>
  <c r="AZ312" i="5"/>
  <c r="BA312" i="5" s="1"/>
  <c r="AZ315" i="5"/>
  <c r="BB315" i="5" s="1"/>
  <c r="AZ265" i="5"/>
  <c r="BA265" i="5" s="1"/>
  <c r="AZ127" i="5"/>
  <c r="BA127" i="5" s="1"/>
  <c r="AZ126" i="5"/>
  <c r="BA126" i="5" s="1"/>
  <c r="AZ95" i="5"/>
  <c r="BA95" i="5" s="1"/>
  <c r="AZ24" i="5"/>
  <c r="BB24" i="5" s="1"/>
  <c r="AZ393" i="5"/>
  <c r="BA393" i="5" s="1"/>
  <c r="AZ255" i="5"/>
  <c r="AZ278" i="5"/>
  <c r="BA278" i="5" s="1"/>
  <c r="AZ290" i="5"/>
  <c r="AZ318" i="5"/>
  <c r="BA318" i="5" s="1"/>
  <c r="AZ148" i="5"/>
  <c r="BB148" i="5" s="1"/>
  <c r="AZ135" i="5"/>
  <c r="BA135" i="5" s="1"/>
  <c r="AZ110" i="5"/>
  <c r="BA110" i="5" s="1"/>
  <c r="AZ69" i="5"/>
  <c r="BA69" i="5" s="1"/>
  <c r="AZ66" i="5"/>
  <c r="BB66" i="5" s="1"/>
  <c r="AZ305" i="5"/>
  <c r="BA305" i="5" s="1"/>
  <c r="AZ296" i="5"/>
  <c r="BB296" i="5" s="1"/>
  <c r="AZ303" i="5"/>
  <c r="BA303" i="5" s="1"/>
  <c r="AZ264" i="5"/>
  <c r="BA264" i="5" s="1"/>
  <c r="AZ150" i="5"/>
  <c r="BA150" i="5" s="1"/>
  <c r="AZ123" i="5"/>
  <c r="BB123" i="5" s="1"/>
  <c r="AZ121" i="5"/>
  <c r="BB121" i="5" s="1"/>
  <c r="AZ23" i="5"/>
  <c r="BB23" i="5" s="1"/>
  <c r="AZ220" i="5"/>
  <c r="BA220" i="5" s="1"/>
  <c r="AZ246" i="5"/>
  <c r="BB246" i="5" s="1"/>
  <c r="AZ200" i="5"/>
  <c r="BA200" i="5" s="1"/>
  <c r="AZ139" i="5"/>
  <c r="AZ98" i="5"/>
  <c r="BB98" i="5" s="1"/>
  <c r="AZ91" i="5"/>
  <c r="AZ55" i="5"/>
  <c r="BA55" i="5" s="1"/>
  <c r="AZ249" i="5"/>
  <c r="BB249" i="5" s="1"/>
  <c r="AZ161" i="5"/>
  <c r="BA161" i="5" s="1"/>
  <c r="AZ184" i="5"/>
  <c r="BB184" i="5" s="1"/>
  <c r="AZ212" i="5"/>
  <c r="BB212" i="5" s="1"/>
  <c r="H50" i="1"/>
  <c r="V454" i="5"/>
  <c r="V495" i="5"/>
  <c r="V24" i="5"/>
  <c r="B140" i="2"/>
  <c r="B141" i="2"/>
  <c r="B138" i="2"/>
  <c r="H56" i="1"/>
  <c r="AJ84" i="5"/>
  <c r="AL84" i="5" s="1"/>
  <c r="AJ147" i="5"/>
  <c r="AK147" i="5" s="1"/>
  <c r="AT38" i="5"/>
  <c r="AV38" i="5" s="1"/>
  <c r="AT44" i="5"/>
  <c r="AU44" i="5" s="1"/>
  <c r="AT32" i="5"/>
  <c r="AV32" i="5" s="1"/>
  <c r="AT328" i="5"/>
  <c r="AV328" i="5" s="1"/>
  <c r="AT276" i="5"/>
  <c r="AU276" i="5" s="1"/>
  <c r="AT314" i="5"/>
  <c r="AV314" i="5" s="1"/>
  <c r="AT257" i="5"/>
  <c r="AV257" i="5" s="1"/>
  <c r="AT221" i="5"/>
  <c r="AV221" i="5" s="1"/>
  <c r="AT211" i="5"/>
  <c r="AV211" i="5" s="1"/>
  <c r="AT176" i="5"/>
  <c r="AU176" i="5" s="1"/>
  <c r="AT160" i="5"/>
  <c r="AV160" i="5" s="1"/>
  <c r="AT131" i="5"/>
  <c r="AV131" i="5" s="1"/>
  <c r="AT135" i="5"/>
  <c r="AV135" i="5" s="1"/>
  <c r="AT118" i="5"/>
  <c r="AU118" i="5" s="1"/>
  <c r="AT141" i="5"/>
  <c r="AU141" i="5" s="1"/>
  <c r="AT79" i="5"/>
  <c r="AU79" i="5" s="1"/>
  <c r="AT78" i="5"/>
  <c r="AU78" i="5" s="1"/>
  <c r="AT23" i="5"/>
  <c r="AU23" i="5" s="1"/>
  <c r="AT25" i="5"/>
  <c r="AV25" i="5" s="1"/>
  <c r="AT335" i="5"/>
  <c r="AU335" i="5" s="1"/>
  <c r="AT259" i="5"/>
  <c r="AU259" i="5" s="1"/>
  <c r="AT297" i="5"/>
  <c r="AU297" i="5" s="1"/>
  <c r="AT205" i="5"/>
  <c r="AU205" i="5" s="1"/>
  <c r="AT280" i="5"/>
  <c r="AV280" i="5" s="1"/>
  <c r="AT238" i="5"/>
  <c r="AV238" i="5" s="1"/>
  <c r="AT243" i="5"/>
  <c r="AU243" i="5" s="1"/>
  <c r="AT234" i="5"/>
  <c r="AU234" i="5" s="1"/>
  <c r="AT189" i="5"/>
  <c r="AV189" i="5" s="1"/>
  <c r="AT181" i="5"/>
  <c r="AU181" i="5" s="1"/>
  <c r="AT173" i="5"/>
  <c r="AV173" i="5" s="1"/>
  <c r="AT138" i="5"/>
  <c r="AV138" i="5" s="1"/>
  <c r="AT126" i="5"/>
  <c r="AU126" i="5" s="1"/>
  <c r="AT83" i="5"/>
  <c r="AV83" i="5" s="1"/>
  <c r="AT87" i="5"/>
  <c r="AV87" i="5" s="1"/>
  <c r="AT22" i="5"/>
  <c r="AU22" i="5" s="1"/>
  <c r="AT64" i="5"/>
  <c r="AV64" i="5" s="1"/>
  <c r="AT31" i="5"/>
  <c r="AU31" i="5" s="1"/>
  <c r="AT36" i="5"/>
  <c r="AU36" i="5" s="1"/>
  <c r="AT24" i="5"/>
  <c r="AV24" i="5" s="1"/>
  <c r="AT28" i="5"/>
  <c r="AV28" i="5" s="1"/>
  <c r="AT316" i="5"/>
  <c r="AV316" i="5" s="1"/>
  <c r="AT250" i="5"/>
  <c r="AU250" i="5" s="1"/>
  <c r="AT301" i="5"/>
  <c r="AV301" i="5" s="1"/>
  <c r="AT251" i="5"/>
  <c r="AV251" i="5" s="1"/>
  <c r="AT195" i="5"/>
  <c r="AU195" i="5" s="1"/>
  <c r="AT164" i="5"/>
  <c r="AU164" i="5" s="1"/>
  <c r="AT199" i="5"/>
  <c r="AU199" i="5" s="1"/>
  <c r="AT133" i="5"/>
  <c r="AV133" i="5" s="1"/>
  <c r="AT187" i="5"/>
  <c r="AV187" i="5" s="1"/>
  <c r="AT110" i="5"/>
  <c r="AU110" i="5" s="1"/>
  <c r="AT92" i="5"/>
  <c r="AV92" i="5" s="1"/>
  <c r="AT121" i="5"/>
  <c r="AU121" i="5" s="1"/>
  <c r="AT103" i="5"/>
  <c r="AU103" i="5" s="1"/>
  <c r="AT55" i="5"/>
  <c r="AU55" i="5" s="1"/>
  <c r="AT65" i="5"/>
  <c r="AV65" i="5" s="1"/>
  <c r="AT47" i="5"/>
  <c r="AV47" i="5" s="1"/>
  <c r="AT307" i="5"/>
  <c r="AV307" i="5" s="1"/>
  <c r="AT200" i="5"/>
  <c r="AV200" i="5" s="1"/>
  <c r="AT282" i="5"/>
  <c r="AU282" i="5" s="1"/>
  <c r="AT322" i="5"/>
  <c r="AU322" i="5" s="1"/>
  <c r="AT265" i="5"/>
  <c r="AU265" i="5" s="1"/>
  <c r="AT230" i="5"/>
  <c r="AV230" i="5" s="1"/>
  <c r="AT224" i="5"/>
  <c r="AV224" i="5" s="1"/>
  <c r="AT215" i="5"/>
  <c r="AU215" i="5" s="1"/>
  <c r="AT172" i="5"/>
  <c r="AV172" i="5" s="1"/>
  <c r="AT163" i="5"/>
  <c r="AV163" i="5" s="1"/>
  <c r="AT150" i="5"/>
  <c r="AV150" i="5" s="1"/>
  <c r="AT122" i="5"/>
  <c r="AV122" i="5" s="1"/>
  <c r="AT71" i="5"/>
  <c r="AV71" i="5" s="1"/>
  <c r="AT88" i="5"/>
  <c r="AU88" i="5" s="1"/>
  <c r="AT90" i="5"/>
  <c r="AU90" i="5" s="1"/>
  <c r="AT63" i="5"/>
  <c r="AV63" i="5" s="1"/>
  <c r="AT53" i="5"/>
  <c r="AU53" i="5" s="1"/>
  <c r="AT21" i="5"/>
  <c r="AU21" i="5" s="1"/>
  <c r="AT37" i="5"/>
  <c r="AV37" i="5" s="1"/>
  <c r="AT42" i="5"/>
  <c r="AV42" i="5" s="1"/>
  <c r="AT33" i="5"/>
  <c r="AT299" i="5"/>
  <c r="AV299" i="5" s="1"/>
  <c r="AT210" i="5"/>
  <c r="AU210" i="5" s="1"/>
  <c r="AT283" i="5"/>
  <c r="AV283" i="5" s="1"/>
  <c r="AT240" i="5"/>
  <c r="AV240" i="5" s="1"/>
  <c r="AT159" i="5"/>
  <c r="AV159" i="5" s="1"/>
  <c r="AT239" i="5"/>
  <c r="AV239" i="5" s="1"/>
  <c r="AT190" i="5"/>
  <c r="AU190" i="5" s="1"/>
  <c r="AT182" i="5"/>
  <c r="AV182" i="5" s="1"/>
  <c r="AT177" i="5"/>
  <c r="AV177" i="5" s="1"/>
  <c r="AT139" i="5"/>
  <c r="AU139" i="5" s="1"/>
  <c r="AT142" i="5"/>
  <c r="AU142" i="5" s="1"/>
  <c r="AT100" i="5"/>
  <c r="AU100" i="5" s="1"/>
  <c r="AT96" i="5"/>
  <c r="AV96" i="5" s="1"/>
  <c r="AT69" i="5"/>
  <c r="AV69" i="5" s="1"/>
  <c r="AT41" i="5"/>
  <c r="AV41" i="5" s="1"/>
  <c r="AT34" i="5"/>
  <c r="AU34" i="5" s="1"/>
  <c r="AT291" i="5"/>
  <c r="AU291" i="5" s="1"/>
  <c r="AT327" i="5"/>
  <c r="AV327" i="5" s="1"/>
  <c r="AT270" i="5"/>
  <c r="AV270" i="5" s="1"/>
  <c r="AT312" i="5"/>
  <c r="AU312" i="5" s="1"/>
  <c r="AT255" i="5"/>
  <c r="AV255" i="5" s="1"/>
  <c r="AT217" i="5"/>
  <c r="AU217" i="5" s="1"/>
  <c r="AT209" i="5"/>
  <c r="AU209" i="5" s="1"/>
  <c r="AT154" i="5"/>
  <c r="AV154" i="5" s="1"/>
  <c r="AT157" i="5"/>
  <c r="AU157" i="5" s="1"/>
  <c r="AT128" i="5"/>
  <c r="AU128" i="5" s="1"/>
  <c r="AT129" i="5"/>
  <c r="AU129" i="5" s="1"/>
  <c r="AT109" i="5"/>
  <c r="AV109" i="5" s="1"/>
  <c r="AT136" i="5"/>
  <c r="AU136" i="5" s="1"/>
  <c r="AT75" i="5"/>
  <c r="AV75" i="5" s="1"/>
  <c r="AT77" i="5"/>
  <c r="AU77" i="5" s="1"/>
  <c r="AT20" i="5"/>
  <c r="AU20" i="5" s="1"/>
  <c r="AT51" i="5"/>
  <c r="AU51" i="5" s="1"/>
  <c r="AT8" i="5"/>
  <c r="AV8" i="5" s="1"/>
  <c r="AT49" i="5"/>
  <c r="AT27" i="5"/>
  <c r="AT45" i="5"/>
  <c r="AT57" i="5"/>
  <c r="AT58" i="5"/>
  <c r="AT70" i="5"/>
  <c r="AT81" i="5"/>
  <c r="AT97" i="5"/>
  <c r="AT82" i="5"/>
  <c r="AT113" i="5"/>
  <c r="AT143" i="5"/>
  <c r="AT148" i="5"/>
  <c r="AT119" i="5"/>
  <c r="AT146" i="5"/>
  <c r="AT144" i="5"/>
  <c r="AT178" i="5"/>
  <c r="AT149" i="5"/>
  <c r="AT184" i="5"/>
  <c r="AT162" i="5"/>
  <c r="AT194" i="5"/>
  <c r="AT193" i="5"/>
  <c r="AT245" i="5"/>
  <c r="AT216" i="5"/>
  <c r="AT166" i="5"/>
  <c r="AT222" i="5"/>
  <c r="AT214" i="5"/>
  <c r="AT260" i="5"/>
  <c r="AT287" i="5"/>
  <c r="AT315" i="5"/>
  <c r="AT219" i="5"/>
  <c r="AT278" i="5"/>
  <c r="AT304" i="5"/>
  <c r="AT117" i="5"/>
  <c r="AT261" i="5"/>
  <c r="AT285" i="5"/>
  <c r="AT303" i="5"/>
  <c r="AT336" i="5"/>
  <c r="AT345" i="5"/>
  <c r="AT356" i="5"/>
  <c r="AT284" i="5"/>
  <c r="AT341" i="5"/>
  <c r="AT378" i="5"/>
  <c r="AT397" i="5"/>
  <c r="AT403" i="5"/>
  <c r="AT421" i="5"/>
  <c r="AT436" i="5"/>
  <c r="AT262" i="5"/>
  <c r="AT321" i="5"/>
  <c r="AT340" i="5"/>
  <c r="AT368" i="5"/>
  <c r="AT386" i="5"/>
  <c r="AT396" i="5"/>
  <c r="AT410" i="5"/>
  <c r="AT347" i="5"/>
  <c r="AT360" i="5"/>
  <c r="AT375" i="5"/>
  <c r="AT402" i="5"/>
  <c r="AT417" i="5"/>
  <c r="AT275" i="5"/>
  <c r="AT346" i="5"/>
  <c r="AT412" i="5"/>
  <c r="AT438" i="5"/>
  <c r="AT451" i="5"/>
  <c r="AT487" i="5"/>
  <c r="AT494" i="5"/>
  <c r="AT510" i="5"/>
  <c r="AT530" i="5"/>
  <c r="AT370" i="5"/>
  <c r="AT425" i="5"/>
  <c r="AT447" i="5"/>
  <c r="AT460" i="5"/>
  <c r="AT483" i="5"/>
  <c r="AT496" i="5"/>
  <c r="AT516" i="5"/>
  <c r="AT337" i="5"/>
  <c r="AT439" i="5"/>
  <c r="AT459" i="5"/>
  <c r="AT474" i="5"/>
  <c r="AT486" i="5"/>
  <c r="AT507" i="5"/>
  <c r="AT525" i="5"/>
  <c r="AT548" i="5"/>
  <c r="AT553" i="5"/>
  <c r="AT380" i="5"/>
  <c r="AT473" i="5"/>
  <c r="AT492" i="5"/>
  <c r="AT40" i="5"/>
  <c r="AT60" i="5"/>
  <c r="AT59" i="5"/>
  <c r="AT73" i="5"/>
  <c r="AT86" i="5"/>
  <c r="AT98" i="5"/>
  <c r="AT85" i="5"/>
  <c r="AT114" i="5"/>
  <c r="AT145" i="5"/>
  <c r="AT151" i="5"/>
  <c r="AT120" i="5"/>
  <c r="AT152" i="5"/>
  <c r="AT147" i="5"/>
  <c r="AT179" i="5"/>
  <c r="AT161" i="5"/>
  <c r="AT95" i="5"/>
  <c r="AT167" i="5"/>
  <c r="AT197" i="5"/>
  <c r="AT208" i="5"/>
  <c r="AT247" i="5"/>
  <c r="AT220" i="5"/>
  <c r="AT188" i="5"/>
  <c r="AT225" i="5"/>
  <c r="AT228" i="5"/>
  <c r="AT263" i="5"/>
  <c r="AT293" i="5"/>
  <c r="AT320" i="5"/>
  <c r="AT241" i="5"/>
  <c r="AT279" i="5"/>
  <c r="AT308" i="5"/>
  <c r="AT196" i="5"/>
  <c r="AT264" i="5"/>
  <c r="AT288" i="5"/>
  <c r="AT313" i="5"/>
  <c r="AT338" i="5"/>
  <c r="AT348" i="5"/>
  <c r="AT359" i="5"/>
  <c r="AT290" i="5"/>
  <c r="AT364" i="5"/>
  <c r="AT382" i="5"/>
  <c r="AT398" i="5"/>
  <c r="AT406" i="5"/>
  <c r="AT424" i="5"/>
  <c r="AT437" i="5"/>
  <c r="AT267" i="5"/>
  <c r="AT326" i="5"/>
  <c r="AT355" i="5"/>
  <c r="AT372" i="5"/>
  <c r="AT387" i="5"/>
  <c r="AT405" i="5"/>
  <c r="AT202" i="5"/>
  <c r="AT351" i="5"/>
  <c r="AT361" i="5"/>
  <c r="AT383" i="5"/>
  <c r="AT404" i="5"/>
  <c r="AT418" i="5"/>
  <c r="AT305" i="5"/>
  <c r="AT350" i="5"/>
  <c r="AT419" i="5"/>
  <c r="AT443" i="5"/>
  <c r="AT466" i="5"/>
  <c r="AT488" i="5"/>
  <c r="AT499" i="5"/>
  <c r="AT513" i="5"/>
  <c r="AT294" i="5"/>
  <c r="AT384" i="5"/>
  <c r="AT48" i="5"/>
  <c r="AT67" i="5"/>
  <c r="AT26" i="5"/>
  <c r="AT72" i="5"/>
  <c r="AT94" i="5"/>
  <c r="AT105" i="5"/>
  <c r="AT101" i="5"/>
  <c r="AT127" i="5"/>
  <c r="AT104" i="5"/>
  <c r="AT99" i="5"/>
  <c r="AT134" i="5"/>
  <c r="AT116" i="5"/>
  <c r="AT158" i="5"/>
  <c r="AT112" i="5"/>
  <c r="AT169" i="5"/>
  <c r="AT140" i="5"/>
  <c r="AT185" i="5"/>
  <c r="AT201" i="5"/>
  <c r="AT223" i="5"/>
  <c r="AT192" i="5"/>
  <c r="AT232" i="5"/>
  <c r="AT212" i="5"/>
  <c r="AT235" i="5"/>
  <c r="AT252" i="5"/>
  <c r="AT274" i="5"/>
  <c r="AT306" i="5"/>
  <c r="AT332" i="5"/>
  <c r="AT258" i="5"/>
  <c r="AT289" i="5"/>
  <c r="AT319" i="5"/>
  <c r="AT244" i="5"/>
  <c r="AT269" i="5"/>
  <c r="AT296" i="5"/>
  <c r="AT318" i="5"/>
  <c r="AT342" i="5"/>
  <c r="AT349" i="5"/>
  <c r="AT174" i="5"/>
  <c r="AT310" i="5"/>
  <c r="AT366" i="5"/>
  <c r="AT388" i="5"/>
  <c r="AT400" i="5"/>
  <c r="AT415" i="5"/>
  <c r="AT429" i="5"/>
  <c r="AT180" i="5"/>
  <c r="AT268" i="5"/>
  <c r="AT329" i="5"/>
  <c r="AT362" i="5"/>
  <c r="AT376" i="5"/>
  <c r="AT391" i="5"/>
  <c r="AT407" i="5"/>
  <c r="AT317" i="5"/>
  <c r="AT352" i="5"/>
  <c r="AT369" i="5"/>
  <c r="AT385" i="5"/>
  <c r="AT411" i="5"/>
  <c r="AT168" i="5"/>
  <c r="AT334" i="5"/>
  <c r="AT371" i="5"/>
  <c r="AT427" i="5"/>
  <c r="AT445" i="5"/>
  <c r="AT469" i="5"/>
  <c r="AT489" i="5"/>
  <c r="AT502" i="5"/>
  <c r="AT518" i="5"/>
  <c r="AT331" i="5"/>
  <c r="AT408" i="5"/>
  <c r="AT435" i="5"/>
  <c r="AT456" i="5"/>
  <c r="AT472" i="5"/>
  <c r="AT490" i="5"/>
  <c r="AT501" i="5"/>
  <c r="AT272" i="5"/>
  <c r="AT399" i="5"/>
  <c r="AT453" i="5"/>
  <c r="AT468" i="5"/>
  <c r="AT478" i="5"/>
  <c r="AT504" i="5"/>
  <c r="AT514" i="5"/>
  <c r="AT543" i="5"/>
  <c r="AT550" i="5"/>
  <c r="AT559" i="5"/>
  <c r="AT416" i="5"/>
  <c r="AT479" i="5"/>
  <c r="AT509" i="5"/>
  <c r="AT50" i="5"/>
  <c r="AT74" i="5"/>
  <c r="AT124" i="5"/>
  <c r="AT171" i="5"/>
  <c r="AT186" i="5"/>
  <c r="AT242" i="5"/>
  <c r="AT277" i="5"/>
  <c r="AT292" i="5"/>
  <c r="AT300" i="5"/>
  <c r="AT231" i="5"/>
  <c r="AT401" i="5"/>
  <c r="AT298" i="5"/>
  <c r="AT393" i="5"/>
  <c r="AT373" i="5"/>
  <c r="AT344" i="5"/>
  <c r="AT481" i="5"/>
  <c r="AT357" i="5"/>
  <c r="AT448" i="5"/>
  <c r="AT485" i="5"/>
  <c r="AT517" i="5"/>
  <c r="AT452" i="5"/>
  <c r="AT477" i="5"/>
  <c r="AT512" i="5"/>
  <c r="AT549" i="5"/>
  <c r="AT392" i="5"/>
  <c r="AT506" i="5"/>
  <c r="AT539" i="5"/>
  <c r="AT554" i="5"/>
  <c r="AT465" i="5"/>
  <c r="AT526" i="5"/>
  <c r="AT555" i="5"/>
  <c r="AT358" i="5"/>
  <c r="AT395" i="5"/>
  <c r="AT430" i="5"/>
  <c r="AT467" i="5"/>
  <c r="AT537" i="5"/>
  <c r="AT440" i="5"/>
  <c r="AT500" i="5"/>
  <c r="AT534" i="5"/>
  <c r="AT68" i="5"/>
  <c r="AT107" i="5"/>
  <c r="AT106" i="5"/>
  <c r="AT125" i="5"/>
  <c r="AT206" i="5"/>
  <c r="AT213" i="5"/>
  <c r="AT309" i="5"/>
  <c r="AT325" i="5"/>
  <c r="AT323" i="5"/>
  <c r="AT330" i="5"/>
  <c r="AT420" i="5"/>
  <c r="AT333" i="5"/>
  <c r="AT409" i="5"/>
  <c r="AT390" i="5"/>
  <c r="AT379" i="5"/>
  <c r="AT493" i="5"/>
  <c r="AT422" i="5"/>
  <c r="AT458" i="5"/>
  <c r="AT491" i="5"/>
  <c r="AT302" i="5"/>
  <c r="AT457" i="5"/>
  <c r="AT480" i="5"/>
  <c r="AT524" i="5"/>
  <c r="AT551" i="5"/>
  <c r="AT463" i="5"/>
  <c r="AT520" i="5"/>
  <c r="AT541" i="5"/>
  <c r="AT441" i="5"/>
  <c r="AT484" i="5"/>
  <c r="AT533" i="5"/>
  <c r="AT532" i="5"/>
  <c r="AT365" i="5"/>
  <c r="AT413" i="5"/>
  <c r="AT432" i="5"/>
  <c r="AT511" i="5"/>
  <c r="AT556" i="5"/>
  <c r="AT446" i="5"/>
  <c r="AT503" i="5"/>
  <c r="AT538" i="5"/>
  <c r="AT80" i="5"/>
  <c r="AT108" i="5"/>
  <c r="AT137" i="5"/>
  <c r="AT170" i="5"/>
  <c r="AT227" i="5"/>
  <c r="AT236" i="5"/>
  <c r="AT203" i="5"/>
  <c r="AT253" i="5"/>
  <c r="AT343" i="5"/>
  <c r="AT374" i="5"/>
  <c r="AT433" i="5"/>
  <c r="AT367" i="5"/>
  <c r="AT339" i="5"/>
  <c r="AT414" i="5"/>
  <c r="AT431" i="5"/>
  <c r="AT508" i="5"/>
  <c r="AT434" i="5"/>
  <c r="AT464" i="5"/>
  <c r="AT497" i="5"/>
  <c r="AT363" i="5"/>
  <c r="AT462" i="5"/>
  <c r="AT498" i="5"/>
  <c r="AT531" i="5"/>
  <c r="AT557" i="5"/>
  <c r="AT476" i="5"/>
  <c r="AT528" i="5"/>
  <c r="AT542" i="5"/>
  <c r="AT444" i="5"/>
  <c r="AT495" i="5"/>
  <c r="AT545" i="5"/>
  <c r="AT536" i="5"/>
  <c r="AT377" i="5"/>
  <c r="AT426" i="5"/>
  <c r="AT454" i="5"/>
  <c r="AT523" i="5"/>
  <c r="AT558" i="5"/>
  <c r="AT449" i="5"/>
  <c r="AT521" i="5"/>
  <c r="AT544" i="5"/>
  <c r="AT76" i="5"/>
  <c r="AT207" i="5"/>
  <c r="AT354" i="5"/>
  <c r="AT353" i="5"/>
  <c r="AT442" i="5"/>
  <c r="AT471" i="5"/>
  <c r="AT482" i="5"/>
  <c r="AT519" i="5"/>
  <c r="AT428" i="5"/>
  <c r="AT470" i="5"/>
  <c r="AT35" i="5"/>
  <c r="AT281" i="5"/>
  <c r="AT522" i="5"/>
  <c r="AT204" i="5"/>
  <c r="AT389" i="5"/>
  <c r="AT132" i="5"/>
  <c r="AT254" i="5"/>
  <c r="AT394" i="5"/>
  <c r="AT256" i="5"/>
  <c r="AT475" i="5"/>
  <c r="AT505" i="5"/>
  <c r="AT535" i="5"/>
  <c r="AT552" i="5"/>
  <c r="AT461" i="5"/>
  <c r="AT527" i="5"/>
  <c r="AT123" i="5"/>
  <c r="AT266" i="5"/>
  <c r="AT226" i="5"/>
  <c r="AT450" i="5"/>
  <c r="AT515" i="5"/>
  <c r="AT546" i="5"/>
  <c r="AT547" i="5"/>
  <c r="AT540" i="5"/>
  <c r="AT529" i="5"/>
  <c r="AT19" i="5"/>
  <c r="AT155" i="5"/>
  <c r="AT381" i="5"/>
  <c r="AT423" i="5"/>
  <c r="AT455" i="5"/>
  <c r="AT560" i="5"/>
  <c r="AV56" i="5"/>
  <c r="AU56" i="5"/>
  <c r="AZ7" i="5"/>
  <c r="BB7" i="5" s="1"/>
  <c r="AZ344" i="5"/>
  <c r="BB344" i="5" s="1"/>
  <c r="AZ302" i="5"/>
  <c r="BA302" i="5" s="1"/>
  <c r="AZ227" i="5"/>
  <c r="BB227" i="5" s="1"/>
  <c r="AZ256" i="5"/>
  <c r="BB256" i="5" s="1"/>
  <c r="AZ282" i="5"/>
  <c r="BB282" i="5" s="1"/>
  <c r="AZ240" i="5"/>
  <c r="BB240" i="5" s="1"/>
  <c r="AZ235" i="5"/>
  <c r="BB235" i="5" s="1"/>
  <c r="AZ236" i="5"/>
  <c r="BB236" i="5" s="1"/>
  <c r="AZ118" i="5"/>
  <c r="BA118" i="5" s="1"/>
  <c r="AZ115" i="5"/>
  <c r="BA115" i="5" s="1"/>
  <c r="AZ169" i="5"/>
  <c r="BA169" i="5" s="1"/>
  <c r="AZ107" i="5"/>
  <c r="BB107" i="5" s="1"/>
  <c r="AZ111" i="5"/>
  <c r="BA111" i="5" s="1"/>
  <c r="AZ103" i="5"/>
  <c r="BA103" i="5" s="1"/>
  <c r="AZ83" i="5"/>
  <c r="BA83" i="5" s="1"/>
  <c r="AZ53" i="5"/>
  <c r="BA53" i="5" s="1"/>
  <c r="AZ39" i="5"/>
  <c r="BA39" i="5" s="1"/>
  <c r="AZ38" i="5"/>
  <c r="BB38" i="5" s="1"/>
  <c r="AZ8" i="5"/>
  <c r="BA8" i="5" s="1"/>
  <c r="AZ373" i="5"/>
  <c r="BB373" i="5" s="1"/>
  <c r="AZ351" i="5"/>
  <c r="BA351" i="5" s="1"/>
  <c r="AZ309" i="5"/>
  <c r="BB309" i="5" s="1"/>
  <c r="AZ241" i="5"/>
  <c r="BA241" i="5" s="1"/>
  <c r="AZ269" i="5"/>
  <c r="BA269" i="5" s="1"/>
  <c r="AZ288" i="5"/>
  <c r="BA288" i="5" s="1"/>
  <c r="AZ191" i="5"/>
  <c r="BB191" i="5" s="1"/>
  <c r="AZ242" i="5"/>
  <c r="BB242" i="5" s="1"/>
  <c r="AZ179" i="5"/>
  <c r="BA179" i="5" s="1"/>
  <c r="AZ136" i="5"/>
  <c r="BA136" i="5" s="1"/>
  <c r="AZ134" i="5"/>
  <c r="BA134" i="5" s="1"/>
  <c r="AZ177" i="5"/>
  <c r="BA177" i="5" s="1"/>
  <c r="AZ119" i="5"/>
  <c r="BB119" i="5" s="1"/>
  <c r="AZ117" i="5"/>
  <c r="BB117" i="5" s="1"/>
  <c r="AZ94" i="5"/>
  <c r="BB94" i="5" s="1"/>
  <c r="AZ89" i="5"/>
  <c r="BB89" i="5" s="1"/>
  <c r="AZ75" i="5"/>
  <c r="BB75" i="5" s="1"/>
  <c r="AZ52" i="5"/>
  <c r="BA52" i="5" s="1"/>
  <c r="AZ44" i="5"/>
  <c r="BB44" i="5" s="1"/>
  <c r="AZ34" i="5"/>
  <c r="BA34" i="5" s="1"/>
  <c r="AZ206" i="5"/>
  <c r="BB206" i="5" s="1"/>
  <c r="AZ314" i="5"/>
  <c r="BA314" i="5" s="1"/>
  <c r="AZ251" i="5"/>
  <c r="BA251" i="5" s="1"/>
  <c r="AZ284" i="5"/>
  <c r="BA284" i="5" s="1"/>
  <c r="AZ300" i="5"/>
  <c r="BB300" i="5" s="1"/>
  <c r="AZ223" i="5"/>
  <c r="BB223" i="5" s="1"/>
  <c r="AZ178" i="5"/>
  <c r="BB178" i="5" s="1"/>
  <c r="AZ195" i="5"/>
  <c r="BA195" i="5" s="1"/>
  <c r="AZ174" i="5"/>
  <c r="BB174" i="5" s="1"/>
  <c r="AZ156" i="5"/>
  <c r="BB156" i="5" s="1"/>
  <c r="AZ141" i="5"/>
  <c r="BA141" i="5" s="1"/>
  <c r="AZ137" i="5"/>
  <c r="BA137" i="5" s="1"/>
  <c r="AZ125" i="5"/>
  <c r="BB125" i="5" s="1"/>
  <c r="AZ114" i="5"/>
  <c r="BB114" i="5" s="1"/>
  <c r="AZ92" i="5"/>
  <c r="BA92" i="5" s="1"/>
  <c r="AZ47" i="5"/>
  <c r="BB47" i="5" s="1"/>
  <c r="AZ51" i="5"/>
  <c r="BB51" i="5" s="1"/>
  <c r="AZ32" i="5"/>
  <c r="BA32" i="5" s="1"/>
  <c r="AZ45" i="5"/>
  <c r="BB45" i="5" s="1"/>
  <c r="AZ326" i="5"/>
  <c r="BA326" i="5" s="1"/>
  <c r="AZ274" i="5"/>
  <c r="BB274" i="5" s="1"/>
  <c r="AZ219" i="5"/>
  <c r="BA219" i="5" s="1"/>
  <c r="AZ197" i="5"/>
  <c r="BB197" i="5" s="1"/>
  <c r="AZ132" i="5"/>
  <c r="BB132" i="5" s="1"/>
  <c r="AZ81" i="5"/>
  <c r="BB81" i="5" s="1"/>
  <c r="AZ80" i="5"/>
  <c r="BB80" i="5" s="1"/>
  <c r="AZ70" i="5"/>
  <c r="BB70" i="5" s="1"/>
  <c r="AZ68" i="5"/>
  <c r="BA68" i="5" s="1"/>
  <c r="AZ43" i="5"/>
  <c r="BA43" i="5" s="1"/>
  <c r="O12" i="5"/>
  <c r="AZ12" i="5" s="1"/>
  <c r="AZ352" i="5"/>
  <c r="BB352" i="5" s="1"/>
  <c r="AZ339" i="5"/>
  <c r="BB339" i="5" s="1"/>
  <c r="AZ295" i="5"/>
  <c r="BA295" i="5" s="1"/>
  <c r="AZ188" i="5"/>
  <c r="BB188" i="5" s="1"/>
  <c r="AZ247" i="5"/>
  <c r="BA247" i="5" s="1"/>
  <c r="AZ279" i="5"/>
  <c r="BB279" i="5" s="1"/>
  <c r="AZ237" i="5"/>
  <c r="BA237" i="5" s="1"/>
  <c r="AZ226" i="5"/>
  <c r="BB226" i="5" s="1"/>
  <c r="AZ230" i="5"/>
  <c r="BA230" i="5" s="1"/>
  <c r="AZ201" i="5"/>
  <c r="BA201" i="5" s="1"/>
  <c r="AZ180" i="5"/>
  <c r="BB180" i="5" s="1"/>
  <c r="AZ163" i="5"/>
  <c r="BB163" i="5" s="1"/>
  <c r="AZ154" i="5"/>
  <c r="BB154" i="5" s="1"/>
  <c r="AZ100" i="5"/>
  <c r="BA100" i="5" s="1"/>
  <c r="AZ86" i="5"/>
  <c r="BA86" i="5" s="1"/>
  <c r="AZ84" i="5"/>
  <c r="BA84" i="5" s="1"/>
  <c r="AZ78" i="5"/>
  <c r="BA78" i="5" s="1"/>
  <c r="AZ21" i="5"/>
  <c r="BA21" i="5" s="1"/>
  <c r="AZ30" i="5"/>
  <c r="BA30" i="5" s="1"/>
  <c r="AZ369" i="5"/>
  <c r="BA369" i="5" s="1"/>
  <c r="AZ346" i="5"/>
  <c r="BA346" i="5" s="1"/>
  <c r="AZ306" i="5"/>
  <c r="BA306" i="5" s="1"/>
  <c r="AZ232" i="5"/>
  <c r="BB232" i="5" s="1"/>
  <c r="AZ262" i="5"/>
  <c r="BA262" i="5" s="1"/>
  <c r="AZ285" i="5"/>
  <c r="BB285" i="5" s="1"/>
  <c r="AZ189" i="5"/>
  <c r="BA189" i="5" s="1"/>
  <c r="AZ238" i="5"/>
  <c r="BB238" i="5" s="1"/>
  <c r="AZ243" i="5"/>
  <c r="BB243" i="5" s="1"/>
  <c r="AZ130" i="5"/>
  <c r="BB130" i="5" s="1"/>
  <c r="AZ122" i="5"/>
  <c r="BB122" i="5" s="1"/>
  <c r="AZ175" i="5"/>
  <c r="BA175" i="5" s="1"/>
  <c r="AZ113" i="5"/>
  <c r="BA113" i="5" s="1"/>
  <c r="AZ112" i="5"/>
  <c r="BA112" i="5" s="1"/>
  <c r="AZ109" i="5"/>
  <c r="BA109" i="5" s="1"/>
  <c r="AZ88" i="5"/>
  <c r="BB88" i="5" s="1"/>
  <c r="AZ71" i="5"/>
  <c r="BA71" i="5" s="1"/>
  <c r="AZ48" i="5"/>
  <c r="BA48" i="5" s="1"/>
  <c r="AZ41" i="5"/>
  <c r="BB41" i="5" s="1"/>
  <c r="AZ29" i="5"/>
  <c r="BA29" i="5" s="1"/>
  <c r="AZ332" i="5"/>
  <c r="BA332" i="5" s="1"/>
  <c r="AZ283" i="5"/>
  <c r="BA283" i="5" s="1"/>
  <c r="AZ157" i="5"/>
  <c r="BB157" i="5" s="1"/>
  <c r="AZ231" i="5"/>
  <c r="BA231" i="5" s="1"/>
  <c r="AZ221" i="5"/>
  <c r="BB221" i="5" s="1"/>
  <c r="AZ172" i="5"/>
  <c r="BA172" i="5" s="1"/>
  <c r="AZ147" i="5"/>
  <c r="BA147" i="5" s="1"/>
  <c r="AZ105" i="5"/>
  <c r="BA105" i="5" s="1"/>
  <c r="AZ322" i="5"/>
  <c r="BA322" i="5" s="1"/>
  <c r="AZ263" i="5"/>
  <c r="BB263" i="5" s="1"/>
  <c r="AZ298" i="5"/>
  <c r="BA298" i="5" s="1"/>
  <c r="AZ313" i="5"/>
  <c r="BA313" i="5" s="1"/>
  <c r="AZ261" i="5"/>
  <c r="BA261" i="5" s="1"/>
  <c r="AZ199" i="5"/>
  <c r="BA199" i="5" s="1"/>
  <c r="AZ210" i="5"/>
  <c r="BA210" i="5" s="1"/>
  <c r="AZ208" i="5"/>
  <c r="BA208" i="5" s="1"/>
  <c r="AZ168" i="5"/>
  <c r="BB168" i="5" s="1"/>
  <c r="AZ159" i="5"/>
  <c r="BA159" i="5" s="1"/>
  <c r="AZ145" i="5"/>
  <c r="BA145" i="5" s="1"/>
  <c r="AZ133" i="5"/>
  <c r="BA133" i="5" s="1"/>
  <c r="AZ131" i="5"/>
  <c r="BA131" i="5" s="1"/>
  <c r="AZ97" i="5"/>
  <c r="BA97" i="5" s="1"/>
  <c r="AZ65" i="5"/>
  <c r="BB65" i="5" s="1"/>
  <c r="AZ61" i="5"/>
  <c r="BB61" i="5" s="1"/>
  <c r="AZ56" i="5"/>
  <c r="BA56" i="5" s="1"/>
  <c r="AZ26" i="5"/>
  <c r="BA26" i="5" s="1"/>
  <c r="AZ411" i="5"/>
  <c r="BB411" i="5" s="1"/>
  <c r="AZ316" i="5"/>
  <c r="BA316" i="5" s="1"/>
  <c r="AZ329" i="5"/>
  <c r="BB329" i="5" s="1"/>
  <c r="AZ268" i="5"/>
  <c r="BB268" i="5" s="1"/>
  <c r="AZ317" i="5"/>
  <c r="BB317" i="5" s="1"/>
  <c r="AZ323" i="5"/>
  <c r="BA323" i="5" s="1"/>
  <c r="AZ266" i="5"/>
  <c r="BA266" i="5" s="1"/>
  <c r="AZ202" i="5"/>
  <c r="BB202" i="5" s="1"/>
  <c r="AZ214" i="5"/>
  <c r="BB214" i="5" s="1"/>
  <c r="AZ213" i="5"/>
  <c r="BB213" i="5" s="1"/>
  <c r="AZ183" i="5"/>
  <c r="BA183" i="5" s="1"/>
  <c r="AZ166" i="5"/>
  <c r="BB166" i="5" s="1"/>
  <c r="AZ101" i="5"/>
  <c r="BA101" i="5" s="1"/>
  <c r="AZ138" i="5"/>
  <c r="BA138" i="5" s="1"/>
  <c r="AZ144" i="5"/>
  <c r="BB144" i="5" s="1"/>
  <c r="AZ74" i="5"/>
  <c r="BA74" i="5" s="1"/>
  <c r="AZ76" i="5"/>
  <c r="BB76" i="5" s="1"/>
  <c r="AZ54" i="5"/>
  <c r="BB54" i="5" s="1"/>
  <c r="AZ64" i="5"/>
  <c r="BB64" i="5" s="1"/>
  <c r="AZ31" i="5"/>
  <c r="BA31" i="5" s="1"/>
  <c r="AZ338" i="5"/>
  <c r="BA338" i="5" s="1"/>
  <c r="AZ337" i="5"/>
  <c r="BA337" i="5" s="1"/>
  <c r="AZ287" i="5"/>
  <c r="BA287" i="5" s="1"/>
  <c r="AZ331" i="5"/>
  <c r="BA331" i="5" s="1"/>
  <c r="AZ207" i="5"/>
  <c r="BA207" i="5" s="1"/>
  <c r="AZ276" i="5"/>
  <c r="BA276" i="5" s="1"/>
  <c r="AZ234" i="5"/>
  <c r="BA234" i="5" s="1"/>
  <c r="AZ222" i="5"/>
  <c r="BA222" i="5" s="1"/>
  <c r="AZ225" i="5"/>
  <c r="BA225" i="5" s="1"/>
  <c r="AZ198" i="5"/>
  <c r="BB198" i="5" s="1"/>
  <c r="AZ176" i="5"/>
  <c r="BA176" i="5" s="1"/>
  <c r="AZ160" i="5"/>
  <c r="BA160" i="5" s="1"/>
  <c r="AZ149" i="5"/>
  <c r="BB149" i="5" s="1"/>
  <c r="AZ85" i="5"/>
  <c r="BB85" i="5" s="1"/>
  <c r="AZ108" i="5"/>
  <c r="BA108" i="5" s="1"/>
  <c r="AZ82" i="5"/>
  <c r="BA82" i="5" s="1"/>
  <c r="AZ72" i="5"/>
  <c r="BA72" i="5" s="1"/>
  <c r="AZ73" i="5"/>
  <c r="BA73" i="5" s="1"/>
  <c r="U287" i="5"/>
  <c r="AJ172" i="5"/>
  <c r="AK172" i="5" s="1"/>
  <c r="B142" i="2"/>
  <c r="B62" i="5"/>
  <c r="AJ166" i="5"/>
  <c r="AK166" i="5" s="1"/>
  <c r="AJ7" i="5"/>
  <c r="AK7" i="5" s="1"/>
  <c r="AJ109" i="5"/>
  <c r="AL109" i="5" s="1"/>
  <c r="AJ121" i="5"/>
  <c r="AL121" i="5" s="1"/>
  <c r="AJ43" i="5"/>
  <c r="AL43" i="5" s="1"/>
  <c r="AU66" i="5"/>
  <c r="AV102" i="5"/>
  <c r="AU43" i="5"/>
  <c r="AZ25" i="5"/>
  <c r="AZ42" i="5"/>
  <c r="AZ58" i="5"/>
  <c r="AZ62" i="5"/>
  <c r="AZ96" i="5"/>
  <c r="AZ129" i="5"/>
  <c r="AZ128" i="5"/>
  <c r="AZ142" i="5"/>
  <c r="AZ153" i="5"/>
  <c r="AZ162" i="5"/>
  <c r="AZ205" i="5"/>
  <c r="AZ204" i="5"/>
  <c r="AZ186" i="5"/>
  <c r="AZ259" i="5"/>
  <c r="AZ307" i="5"/>
  <c r="AZ294" i="5"/>
  <c r="AZ257" i="5"/>
  <c r="AZ320" i="5"/>
  <c r="AZ358" i="5"/>
  <c r="AZ335" i="5"/>
  <c r="AZ383" i="5"/>
  <c r="AZ410" i="5"/>
  <c r="AZ428" i="5"/>
  <c r="AZ440" i="5"/>
  <c r="AZ277" i="5"/>
  <c r="AZ345" i="5"/>
  <c r="AZ361" i="5"/>
  <c r="AZ375" i="5"/>
  <c r="AZ386" i="5"/>
  <c r="AZ399" i="5"/>
  <c r="AZ417" i="5"/>
  <c r="AZ245" i="5"/>
  <c r="AZ280" i="5"/>
  <c r="AZ333" i="5"/>
  <c r="AZ342" i="5"/>
  <c r="AZ364" i="5"/>
  <c r="AZ378" i="5"/>
  <c r="AZ398" i="5"/>
  <c r="AZ416" i="5"/>
  <c r="AZ368" i="5"/>
  <c r="AZ452" i="5"/>
  <c r="AZ460" i="5"/>
  <c r="AZ478" i="5"/>
  <c r="AZ504" i="5"/>
  <c r="AZ531" i="5"/>
  <c r="AZ382" i="5"/>
  <c r="AZ403" i="5"/>
  <c r="AZ429" i="5"/>
  <c r="AZ461" i="5"/>
  <c r="AZ468" i="5"/>
  <c r="AZ480" i="5"/>
  <c r="AZ507" i="5"/>
  <c r="AZ516" i="5"/>
  <c r="AZ353" i="5"/>
  <c r="AZ405" i="5"/>
  <c r="AZ441" i="5"/>
  <c r="AZ453" i="5"/>
  <c r="AZ466" i="5"/>
  <c r="AZ479" i="5"/>
  <c r="AZ488" i="5"/>
  <c r="AZ494" i="5"/>
  <c r="AZ502" i="5"/>
  <c r="AZ509" i="5"/>
  <c r="AZ522" i="5"/>
  <c r="AZ545" i="5"/>
  <c r="AZ229" i="5"/>
  <c r="AZ425" i="5"/>
  <c r="AZ513" i="5"/>
  <c r="AZ529" i="5"/>
  <c r="AZ548" i="5"/>
  <c r="AZ558" i="5"/>
  <c r="AZ448" i="5"/>
  <c r="AZ544" i="5"/>
  <c r="AZ407" i="5"/>
  <c r="AZ501" i="5"/>
  <c r="AZ541" i="5"/>
  <c r="AZ559" i="5"/>
  <c r="AZ464" i="5"/>
  <c r="AZ19" i="5"/>
  <c r="AZ37" i="5"/>
  <c r="AZ67" i="5"/>
  <c r="AZ57" i="5"/>
  <c r="AZ77" i="5"/>
  <c r="AZ102" i="5"/>
  <c r="AZ151" i="5"/>
  <c r="AZ146" i="5"/>
  <c r="AZ104" i="5"/>
  <c r="AZ170" i="5"/>
  <c r="AZ187" i="5"/>
  <c r="AZ216" i="5"/>
  <c r="AZ217" i="5"/>
  <c r="AZ215" i="5"/>
  <c r="AZ271" i="5"/>
  <c r="AZ327" i="5"/>
  <c r="AZ321" i="5"/>
  <c r="AZ275" i="5"/>
  <c r="AZ330" i="5"/>
  <c r="AZ224" i="5"/>
  <c r="AZ360" i="5"/>
  <c r="AZ385" i="5"/>
  <c r="AZ414" i="5"/>
  <c r="AZ431" i="5"/>
  <c r="AZ250" i="5"/>
  <c r="AZ293" i="5"/>
  <c r="AZ350" i="5"/>
  <c r="AZ363" i="5"/>
  <c r="AZ377" i="5"/>
  <c r="AZ389" i="5"/>
  <c r="AZ402" i="5"/>
  <c r="AZ418" i="5"/>
  <c r="AZ254" i="5"/>
  <c r="AZ286" i="5"/>
  <c r="AZ336" i="5"/>
  <c r="AZ348" i="5"/>
  <c r="AZ366" i="5"/>
  <c r="AZ379" i="5"/>
  <c r="AZ400" i="5"/>
  <c r="AZ311" i="5"/>
  <c r="AZ401" i="5"/>
  <c r="AZ457" i="5"/>
  <c r="AZ471" i="5"/>
  <c r="AZ490" i="5"/>
  <c r="AZ515" i="5"/>
  <c r="AZ532" i="5"/>
  <c r="AZ391" i="5"/>
  <c r="AZ412" i="5"/>
  <c r="AZ439" i="5"/>
  <c r="AZ462" i="5"/>
  <c r="AZ470" i="5"/>
  <c r="AZ484" i="5"/>
  <c r="AZ511" i="5"/>
  <c r="AZ519" i="5"/>
  <c r="AZ381" i="5"/>
  <c r="AZ430" i="5"/>
  <c r="AZ443" i="5"/>
  <c r="AZ454" i="5"/>
  <c r="AZ469" i="5"/>
  <c r="AZ482" i="5"/>
  <c r="AZ489" i="5"/>
  <c r="AZ495" i="5"/>
  <c r="AZ503" i="5"/>
  <c r="AZ510" i="5"/>
  <c r="AZ523" i="5"/>
  <c r="AZ554" i="5"/>
  <c r="AZ297" i="5"/>
  <c r="AZ449" i="5"/>
  <c r="AZ517" i="5"/>
  <c r="AZ534" i="5"/>
  <c r="AZ553" i="5"/>
  <c r="AZ433" i="5"/>
  <c r="AZ524" i="5"/>
  <c r="AZ549" i="5"/>
  <c r="AZ424" i="5"/>
  <c r="AZ528" i="5"/>
  <c r="AZ542" i="5"/>
  <c r="AZ372" i="5"/>
  <c r="AZ483" i="5"/>
  <c r="AZ33" i="5"/>
  <c r="AZ28" i="5"/>
  <c r="AZ49" i="5"/>
  <c r="AZ93" i="5"/>
  <c r="AZ87" i="5"/>
  <c r="AZ106" i="5"/>
  <c r="AZ155" i="5"/>
  <c r="AZ167" i="5"/>
  <c r="AZ185" i="5"/>
  <c r="AZ203" i="5"/>
  <c r="AZ233" i="5"/>
  <c r="AZ228" i="5"/>
  <c r="AZ239" i="5"/>
  <c r="AZ281" i="5"/>
  <c r="AZ253" i="5"/>
  <c r="AZ192" i="5"/>
  <c r="AZ301" i="5"/>
  <c r="AZ343" i="5"/>
  <c r="AZ258" i="5"/>
  <c r="AZ367" i="5"/>
  <c r="AZ404" i="5"/>
  <c r="AZ420" i="5"/>
  <c r="AZ435" i="5"/>
  <c r="AZ252" i="5"/>
  <c r="AZ304" i="5"/>
  <c r="AZ356" i="5"/>
  <c r="AZ365" i="5"/>
  <c r="AZ380" i="5"/>
  <c r="AZ390" i="5"/>
  <c r="AZ408" i="5"/>
  <c r="AZ419" i="5"/>
  <c r="AZ267" i="5"/>
  <c r="AZ289" i="5"/>
  <c r="AZ340" i="5"/>
  <c r="AZ349" i="5"/>
  <c r="AZ371" i="5"/>
  <c r="AZ388" i="5"/>
  <c r="AZ406" i="5"/>
  <c r="AZ354" i="5"/>
  <c r="AZ422" i="5"/>
  <c r="AZ458" i="5"/>
  <c r="AZ472" i="5"/>
  <c r="AZ496" i="5"/>
  <c r="AZ525" i="5"/>
  <c r="AZ270" i="5"/>
  <c r="AZ394" i="5"/>
  <c r="AZ426" i="5"/>
  <c r="AZ446" i="5"/>
  <c r="AZ465" i="5"/>
  <c r="AZ474" i="5"/>
  <c r="AZ498" i="5"/>
  <c r="AZ512" i="5"/>
  <c r="AZ308" i="5"/>
  <c r="AZ387" i="5"/>
  <c r="AZ432" i="5"/>
  <c r="AZ444" i="5"/>
  <c r="AZ455" i="5"/>
  <c r="AZ473" i="5"/>
  <c r="AZ486" i="5"/>
  <c r="AZ492" i="5"/>
  <c r="AZ499" i="5"/>
  <c r="AZ505" i="5"/>
  <c r="AZ518" i="5"/>
  <c r="AZ530" i="5"/>
  <c r="AZ555" i="5"/>
  <c r="AZ328" i="5"/>
  <c r="AZ456" i="5"/>
  <c r="AZ521" i="5"/>
  <c r="AZ536" i="5"/>
  <c r="AZ557" i="5"/>
  <c r="AZ437" i="5"/>
  <c r="AZ538" i="5"/>
  <c r="AZ550" i="5"/>
  <c r="AZ481" i="5"/>
  <c r="AZ533" i="5"/>
  <c r="AZ547" i="5"/>
  <c r="AZ438" i="5"/>
  <c r="AZ537" i="5"/>
  <c r="AZ36" i="5"/>
  <c r="AZ46" i="5"/>
  <c r="AZ63" i="5"/>
  <c r="AZ79" i="5"/>
  <c r="AZ90" i="5"/>
  <c r="AZ99" i="5"/>
  <c r="AZ120" i="5"/>
  <c r="AZ124" i="5"/>
  <c r="AZ181" i="5"/>
  <c r="AZ143" i="5"/>
  <c r="AZ165" i="5"/>
  <c r="AZ182" i="5"/>
  <c r="AZ244" i="5"/>
  <c r="AZ193" i="5"/>
  <c r="AZ291" i="5"/>
  <c r="AZ272" i="5"/>
  <c r="AZ248" i="5"/>
  <c r="AZ310" i="5"/>
  <c r="AZ357" i="5"/>
  <c r="AZ319" i="5"/>
  <c r="AZ376" i="5"/>
  <c r="AZ409" i="5"/>
  <c r="AZ423" i="5"/>
  <c r="AZ436" i="5"/>
  <c r="AZ260" i="5"/>
  <c r="AZ334" i="5"/>
  <c r="AZ359" i="5"/>
  <c r="AZ370" i="5"/>
  <c r="AZ384" i="5"/>
  <c r="AZ392" i="5"/>
  <c r="AZ413" i="5"/>
  <c r="AZ209" i="5"/>
  <c r="AZ273" i="5"/>
  <c r="AZ292" i="5"/>
  <c r="AZ341" i="5"/>
  <c r="AZ355" i="5"/>
  <c r="AZ374" i="5"/>
  <c r="AZ395" i="5"/>
  <c r="AZ415" i="5"/>
  <c r="AZ362" i="5"/>
  <c r="AZ442" i="5"/>
  <c r="AZ459" i="5"/>
  <c r="AZ475" i="5"/>
  <c r="AZ497" i="5"/>
  <c r="AZ526" i="5"/>
  <c r="AZ325" i="5"/>
  <c r="AZ397" i="5"/>
  <c r="AZ427" i="5"/>
  <c r="AZ447" i="5"/>
  <c r="AZ467" i="5"/>
  <c r="AZ477" i="5"/>
  <c r="AZ506" i="5"/>
  <c r="AZ514" i="5"/>
  <c r="AZ347" i="5"/>
  <c r="AZ396" i="5"/>
  <c r="AZ434" i="5"/>
  <c r="AZ451" i="5"/>
  <c r="AZ463" i="5"/>
  <c r="AZ476" i="5"/>
  <c r="AZ487" i="5"/>
  <c r="AZ493" i="5"/>
  <c r="AZ500" i="5"/>
  <c r="AZ508" i="5"/>
  <c r="AZ520" i="5"/>
  <c r="AZ539" i="5"/>
  <c r="AZ556" i="5"/>
  <c r="AZ421" i="5"/>
  <c r="AZ485" i="5"/>
  <c r="AZ527" i="5"/>
  <c r="AZ540" i="5"/>
  <c r="AZ560" i="5"/>
  <c r="AZ445" i="5"/>
  <c r="AZ543" i="5"/>
  <c r="AZ551" i="5"/>
  <c r="AZ491" i="5"/>
  <c r="AZ535" i="5"/>
  <c r="AZ552" i="5"/>
  <c r="AZ450" i="5"/>
  <c r="AZ546" i="5"/>
  <c r="AW26" i="5"/>
  <c r="AW48" i="5"/>
  <c r="AW33" i="5"/>
  <c r="AW46" i="5"/>
  <c r="AW32" i="5"/>
  <c r="AW45" i="5"/>
  <c r="AW34" i="5"/>
  <c r="AW59" i="5"/>
  <c r="AW36" i="5"/>
  <c r="AW54" i="5"/>
  <c r="AW65" i="5"/>
  <c r="AW40" i="5"/>
  <c r="AW58" i="5"/>
  <c r="AW83" i="5"/>
  <c r="AW70" i="5"/>
  <c r="AW81" i="5"/>
  <c r="AW99" i="5"/>
  <c r="AW84" i="5"/>
  <c r="AW95" i="5"/>
  <c r="AW107" i="5"/>
  <c r="AW111" i="5"/>
  <c r="AW120" i="5"/>
  <c r="AW135" i="5"/>
  <c r="AW152" i="5"/>
  <c r="AW115" i="5"/>
  <c r="AW130" i="5"/>
  <c r="AW141" i="5"/>
  <c r="AW157" i="5"/>
  <c r="AW102" i="5"/>
  <c r="AW114" i="5"/>
  <c r="AW131" i="5"/>
  <c r="AW147" i="5"/>
  <c r="AW155" i="5"/>
  <c r="AW164" i="5"/>
  <c r="AW176" i="5"/>
  <c r="AW156" i="5"/>
  <c r="AW183" i="5"/>
  <c r="AW170" i="5"/>
  <c r="AW188" i="5"/>
  <c r="AW205" i="5"/>
  <c r="AW148" i="5"/>
  <c r="AW195" i="5"/>
  <c r="AW214" i="5"/>
  <c r="AW226" i="5"/>
  <c r="AW240" i="5"/>
  <c r="AW197" i="5"/>
  <c r="AW231" i="5"/>
  <c r="AW169" i="5"/>
  <c r="AW187" i="5"/>
  <c r="AW198" i="5"/>
  <c r="AW216" i="5"/>
  <c r="AW224" i="5"/>
  <c r="AW241" i="5"/>
  <c r="AW233" i="5"/>
  <c r="AW253" i="5"/>
  <c r="AW272" i="5"/>
  <c r="AW294" i="5"/>
  <c r="AW310" i="5"/>
  <c r="AW329" i="5"/>
  <c r="AW225" i="5"/>
  <c r="AW251" i="5"/>
  <c r="AW263" i="5"/>
  <c r="AW280" i="5"/>
  <c r="AW295" i="5"/>
  <c r="AW312" i="5"/>
  <c r="AW322" i="5"/>
  <c r="AW213" i="5"/>
  <c r="AW252" i="5"/>
  <c r="AW270" i="5"/>
  <c r="AW282" i="5"/>
  <c r="AW297" i="5"/>
  <c r="AW311" i="5"/>
  <c r="AW328" i="5"/>
  <c r="AW347" i="5"/>
  <c r="AW246" i="5"/>
  <c r="AW313" i="5"/>
  <c r="AW345" i="5"/>
  <c r="AW357" i="5"/>
  <c r="AW370" i="5"/>
  <c r="AW380" i="5"/>
  <c r="AW392" i="5"/>
  <c r="AW413" i="5"/>
  <c r="AW427" i="5"/>
  <c r="AW271" i="5"/>
  <c r="AW341" i="5"/>
  <c r="O13" i="5"/>
  <c r="AJ13" i="5" s="1"/>
  <c r="AW22" i="5"/>
  <c r="AW31" i="5"/>
  <c r="AW20" i="5"/>
  <c r="AW38" i="5"/>
  <c r="AW21" i="5"/>
  <c r="AW35" i="5"/>
  <c r="AW52" i="5"/>
  <c r="AW51" i="5"/>
  <c r="AW61" i="5"/>
  <c r="AW47" i="5"/>
  <c r="AW56" i="5"/>
  <c r="AW71" i="5"/>
  <c r="AW60" i="5"/>
  <c r="AW68" i="5"/>
  <c r="AW88" i="5"/>
  <c r="AW72" i="5"/>
  <c r="AW85" i="5"/>
  <c r="AW101" i="5"/>
  <c r="AW89" i="5"/>
  <c r="AW96" i="5"/>
  <c r="AW97" i="5"/>
  <c r="AW112" i="5"/>
  <c r="AW125" i="5"/>
  <c r="AW138" i="5"/>
  <c r="AW158" i="5"/>
  <c r="AW116" i="5"/>
  <c r="AW132" i="5"/>
  <c r="AW143" i="5"/>
  <c r="AW64" i="5"/>
  <c r="AW105" i="5"/>
  <c r="AW121" i="5"/>
  <c r="AW133" i="5"/>
  <c r="AW150" i="5"/>
  <c r="AW113" i="5"/>
  <c r="AW166" i="5"/>
  <c r="AW180" i="5"/>
  <c r="AW173" i="5"/>
  <c r="AW119" i="5"/>
  <c r="AW171" i="5"/>
  <c r="AW191" i="5"/>
  <c r="AW207" i="5"/>
  <c r="AW160" i="5"/>
  <c r="AW203" i="5"/>
  <c r="AW217" i="5"/>
  <c r="AW228" i="5"/>
  <c r="AW242" i="5"/>
  <c r="AW199" i="5"/>
  <c r="AW234" i="5"/>
  <c r="AW172" i="5"/>
  <c r="AW189" i="5"/>
  <c r="AW201" i="5"/>
  <c r="AW218" i="5"/>
  <c r="AW227" i="5"/>
  <c r="AW163" i="5"/>
  <c r="AW236" i="5"/>
  <c r="AW256" i="5"/>
  <c r="AW278" i="5"/>
  <c r="AW298" i="5"/>
  <c r="AW317" i="5"/>
  <c r="AW330" i="5"/>
  <c r="AW230" i="5"/>
  <c r="AW254" i="5"/>
  <c r="AW265" i="5"/>
  <c r="AW283" i="5"/>
  <c r="AW301" i="5"/>
  <c r="AW314" i="5"/>
  <c r="AW324" i="5"/>
  <c r="AW221" i="5"/>
  <c r="AW258" i="5"/>
  <c r="AW273" i="5"/>
  <c r="AW286" i="5"/>
  <c r="AW299" i="5"/>
  <c r="AW316" i="5"/>
  <c r="AW333" i="5"/>
  <c r="AW353" i="5"/>
  <c r="AW281" i="5"/>
  <c r="AW327" i="5"/>
  <c r="AW346" i="5"/>
  <c r="AW359" i="5"/>
  <c r="AW371" i="5"/>
  <c r="AW384" i="5"/>
  <c r="AW399" i="5"/>
  <c r="AW416" i="5"/>
  <c r="AW8" i="5"/>
  <c r="AW23" i="5"/>
  <c r="AW37" i="5"/>
  <c r="AW29" i="5"/>
  <c r="AW41" i="5"/>
  <c r="AW24" i="5"/>
  <c r="AW39" i="5"/>
  <c r="AW63" i="5"/>
  <c r="AW53" i="5"/>
  <c r="AW66" i="5"/>
  <c r="AW49" i="5"/>
  <c r="AW57" i="5"/>
  <c r="AW75" i="5"/>
  <c r="AW76" i="5"/>
  <c r="AW73" i="5"/>
  <c r="AW91" i="5"/>
  <c r="AW82" i="5"/>
  <c r="AW93" i="5"/>
  <c r="AW104" i="5"/>
  <c r="AW90" i="5"/>
  <c r="AW98" i="5"/>
  <c r="AW103" i="5"/>
  <c r="AW117" i="5"/>
  <c r="AW126" i="5"/>
  <c r="AW146" i="5"/>
  <c r="AW161" i="5"/>
  <c r="AW122" i="5"/>
  <c r="AW134" i="5"/>
  <c r="AW145" i="5"/>
  <c r="AW80" i="5"/>
  <c r="AW108" i="5"/>
  <c r="AW123" i="5"/>
  <c r="AW140" i="5"/>
  <c r="AW151" i="5"/>
  <c r="AW139" i="5"/>
  <c r="AW168" i="5"/>
  <c r="AW185" i="5"/>
  <c r="AW178" i="5"/>
  <c r="AW137" i="5"/>
  <c r="AW182" i="5"/>
  <c r="AW196" i="5"/>
  <c r="AW124" i="5"/>
  <c r="AW162" i="5"/>
  <c r="AW204" i="5"/>
  <c r="AW219" i="5"/>
  <c r="AW235" i="5"/>
  <c r="AW244" i="5"/>
  <c r="AW202" i="5"/>
  <c r="AW237" i="5"/>
  <c r="AW175" i="5"/>
  <c r="AW192" i="5"/>
  <c r="AW206" i="5"/>
  <c r="AW220" i="5"/>
  <c r="AW229" i="5"/>
  <c r="AW208" i="5"/>
  <c r="AW243" i="5"/>
  <c r="AW262" i="5"/>
  <c r="AW284" i="5"/>
  <c r="AW302" i="5"/>
  <c r="AW321" i="5"/>
  <c r="AW331" i="5"/>
  <c r="AW248" i="5"/>
  <c r="AW255" i="5"/>
  <c r="AW268" i="5"/>
  <c r="AW287" i="5"/>
  <c r="AW306" i="5"/>
  <c r="AW315" i="5"/>
  <c r="AW332" i="5"/>
  <c r="AW245" i="5"/>
  <c r="AW260" i="5"/>
  <c r="AW276" i="5"/>
  <c r="AW289" i="5"/>
  <c r="AW304" i="5"/>
  <c r="AW319" i="5"/>
  <c r="AW334" i="5"/>
  <c r="AW355" i="5"/>
  <c r="AW296" i="5"/>
  <c r="AW337" i="5"/>
  <c r="AW350" i="5"/>
  <c r="AW363" i="5"/>
  <c r="AW377" i="5"/>
  <c r="AW389" i="5"/>
  <c r="AW408" i="5"/>
  <c r="AW419" i="5"/>
  <c r="AW434" i="5"/>
  <c r="AW25" i="5"/>
  <c r="AW43" i="5"/>
  <c r="AW30" i="5"/>
  <c r="AW44" i="5"/>
  <c r="AW28" i="5"/>
  <c r="AW42" i="5"/>
  <c r="AW69" i="5"/>
  <c r="AW55" i="5"/>
  <c r="AW27" i="5"/>
  <c r="AW50" i="5"/>
  <c r="AW62" i="5"/>
  <c r="AW79" i="5"/>
  <c r="AW77" i="5"/>
  <c r="AW74" i="5"/>
  <c r="AW67" i="5"/>
  <c r="AW78" i="5"/>
  <c r="AW94" i="5"/>
  <c r="AW109" i="5"/>
  <c r="AW92" i="5"/>
  <c r="AW100" i="5"/>
  <c r="AW106" i="5"/>
  <c r="AW118" i="5"/>
  <c r="AW128" i="5"/>
  <c r="AW149" i="5"/>
  <c r="AW87" i="5"/>
  <c r="AW127" i="5"/>
  <c r="AW136" i="5"/>
  <c r="AW153" i="5"/>
  <c r="AW86" i="5"/>
  <c r="AW110" i="5"/>
  <c r="AW129" i="5"/>
  <c r="AW144" i="5"/>
  <c r="AW154" i="5"/>
  <c r="AW159" i="5"/>
  <c r="AW174" i="5"/>
  <c r="AW186" i="5"/>
  <c r="AW179" i="5"/>
  <c r="AW165" i="5"/>
  <c r="AW184" i="5"/>
  <c r="AW200" i="5"/>
  <c r="AW142" i="5"/>
  <c r="AW194" i="5"/>
  <c r="AW210" i="5"/>
  <c r="AW222" i="5"/>
  <c r="AW238" i="5"/>
  <c r="AW167" i="5"/>
  <c r="AW215" i="5"/>
  <c r="AW239" i="5"/>
  <c r="AW181" i="5"/>
  <c r="AW193" i="5"/>
  <c r="AW209" i="5"/>
  <c r="AW223" i="5"/>
  <c r="AW232" i="5"/>
  <c r="AW211" i="5"/>
  <c r="AW247" i="5"/>
  <c r="AW269" i="5"/>
  <c r="AW290" i="5"/>
  <c r="AW305" i="5"/>
  <c r="AW326" i="5"/>
  <c r="AW177" i="5"/>
  <c r="AW249" i="5"/>
  <c r="AW257" i="5"/>
  <c r="AW275" i="5"/>
  <c r="AW293" i="5"/>
  <c r="AW309" i="5"/>
  <c r="AW320" i="5"/>
  <c r="AW190" i="5"/>
  <c r="AW250" i="5"/>
  <c r="AW267" i="5"/>
  <c r="AW277" i="5"/>
  <c r="AW292" i="5"/>
  <c r="AW308" i="5"/>
  <c r="AW325" i="5"/>
  <c r="AW340" i="5"/>
  <c r="AW212" i="5"/>
  <c r="AW307" i="5"/>
  <c r="AW344" i="5"/>
  <c r="AW356" i="5"/>
  <c r="AW365" i="5"/>
  <c r="AW379" i="5"/>
  <c r="AW390" i="5"/>
  <c r="AW412" i="5"/>
  <c r="AW426" i="5"/>
  <c r="AW318" i="5"/>
  <c r="AW349" i="5"/>
  <c r="AW366" i="5"/>
  <c r="AW394" i="5"/>
  <c r="AW406" i="5"/>
  <c r="AW264" i="5"/>
  <c r="AW343" i="5"/>
  <c r="AW376" i="5"/>
  <c r="AW387" i="5"/>
  <c r="AW401" i="5"/>
  <c r="AW409" i="5"/>
  <c r="AW385" i="5"/>
  <c r="AW440" i="5"/>
  <c r="AW461" i="5"/>
  <c r="AW476" i="5"/>
  <c r="AW482" i="5"/>
  <c r="AW500" i="5"/>
  <c r="AW512" i="5"/>
  <c r="AW288" i="5"/>
  <c r="AW418" i="5"/>
  <c r="AW441" i="5"/>
  <c r="AW451" i="5"/>
  <c r="AW466" i="5"/>
  <c r="AW487" i="5"/>
  <c r="AW494" i="5"/>
  <c r="AW508" i="5"/>
  <c r="AW518" i="5"/>
  <c r="AW335" i="5"/>
  <c r="AW393" i="5"/>
  <c r="AW417" i="5"/>
  <c r="AW425" i="5"/>
  <c r="AW442" i="5"/>
  <c r="AW458" i="5"/>
  <c r="AW483" i="5"/>
  <c r="AW496" i="5"/>
  <c r="AW527" i="5"/>
  <c r="AW538" i="5"/>
  <c r="AW547" i="5"/>
  <c r="AW279" i="5"/>
  <c r="AW423" i="5"/>
  <c r="AW532" i="5"/>
  <c r="AW556" i="5"/>
  <c r="AW516" i="5"/>
  <c r="AW535" i="5"/>
  <c r="AW551" i="5"/>
  <c r="AW383" i="5"/>
  <c r="AW475" i="5"/>
  <c r="AW504" i="5"/>
  <c r="AW555" i="5"/>
  <c r="AW497" i="5"/>
  <c r="AW543" i="5"/>
  <c r="AW432" i="5"/>
  <c r="AW336" i="5"/>
  <c r="AW354" i="5"/>
  <c r="AW374" i="5"/>
  <c r="AW395" i="5"/>
  <c r="AW415" i="5"/>
  <c r="AW300" i="5"/>
  <c r="AW362" i="5"/>
  <c r="AW381" i="5"/>
  <c r="AW391" i="5"/>
  <c r="AW403" i="5"/>
  <c r="AW410" i="5"/>
  <c r="AW428" i="5"/>
  <c r="AW444" i="5"/>
  <c r="AW465" i="5"/>
  <c r="AW477" i="5"/>
  <c r="AW484" i="5"/>
  <c r="AW505" i="5"/>
  <c r="AW519" i="5"/>
  <c r="AW361" i="5"/>
  <c r="AW431" i="5"/>
  <c r="AW443" i="5"/>
  <c r="AW454" i="5"/>
  <c r="AW469" i="5"/>
  <c r="AW488" i="5"/>
  <c r="AW499" i="5"/>
  <c r="AW509" i="5"/>
  <c r="AW520" i="5"/>
  <c r="AW339" i="5"/>
  <c r="AW402" i="5"/>
  <c r="AW421" i="5"/>
  <c r="AW433" i="5"/>
  <c r="AW445" i="5"/>
  <c r="AW460" i="5"/>
  <c r="AW485" i="5"/>
  <c r="AW501" i="5"/>
  <c r="AW533" i="5"/>
  <c r="AW540" i="5"/>
  <c r="AW552" i="5"/>
  <c r="AW285" i="5"/>
  <c r="AW452" i="5"/>
  <c r="AW549" i="5"/>
  <c r="AW369" i="5"/>
  <c r="AW522" i="5"/>
  <c r="AW539" i="5"/>
  <c r="AW554" i="5"/>
  <c r="AW447" i="5"/>
  <c r="AW478" i="5"/>
  <c r="AW515" i="5"/>
  <c r="AW557" i="5"/>
  <c r="AW507" i="5"/>
  <c r="AW545" i="5"/>
  <c r="AW439" i="5"/>
  <c r="AW342" i="5"/>
  <c r="AW358" i="5"/>
  <c r="AW378" i="5"/>
  <c r="AW398" i="5"/>
  <c r="AW420" i="5"/>
  <c r="AW303" i="5"/>
  <c r="AW368" i="5"/>
  <c r="AW382" i="5"/>
  <c r="AW396" i="5"/>
  <c r="AW405" i="5"/>
  <c r="AW338" i="5"/>
  <c r="AW429" i="5"/>
  <c r="AW446" i="5"/>
  <c r="AW467" i="5"/>
  <c r="AW479" i="5"/>
  <c r="AW492" i="5"/>
  <c r="AW506" i="5"/>
  <c r="AW523" i="5"/>
  <c r="AW367" i="5"/>
  <c r="AW436" i="5"/>
  <c r="AW449" i="5"/>
  <c r="AW455" i="5"/>
  <c r="AW473" i="5"/>
  <c r="AW489" i="5"/>
  <c r="AW502" i="5"/>
  <c r="AW510" i="5"/>
  <c r="AW521" i="5"/>
  <c r="AW351" i="5"/>
  <c r="AW411" i="5"/>
  <c r="AW422" i="5"/>
  <c r="AW435" i="5"/>
  <c r="AW448" i="5"/>
  <c r="AW464" i="5"/>
  <c r="AW490" i="5"/>
  <c r="AW517" i="5"/>
  <c r="AW534" i="5"/>
  <c r="AW542" i="5"/>
  <c r="AW558" i="5"/>
  <c r="AW291" i="5"/>
  <c r="AW459" i="5"/>
  <c r="AW550" i="5"/>
  <c r="AW462" i="5"/>
  <c r="AW528" i="5"/>
  <c r="AW541" i="5"/>
  <c r="AW548" i="5"/>
  <c r="AW457" i="5"/>
  <c r="AW486" i="5"/>
  <c r="AW525" i="5"/>
  <c r="AW360" i="5"/>
  <c r="AW514" i="5"/>
  <c r="AW553" i="5"/>
  <c r="AW388" i="5"/>
  <c r="AW372" i="5"/>
  <c r="AW352" i="5"/>
  <c r="AW480" i="5"/>
  <c r="AW373" i="5"/>
  <c r="AW481" i="5"/>
  <c r="AW266" i="5"/>
  <c r="AW437" i="5"/>
  <c r="AW526" i="5"/>
  <c r="AW404" i="5"/>
  <c r="AW530" i="5"/>
  <c r="AW498" i="5"/>
  <c r="AW19" i="5"/>
  <c r="AW274" i="5"/>
  <c r="AW400" i="5"/>
  <c r="AW386" i="5"/>
  <c r="AW430" i="5"/>
  <c r="AW495" i="5"/>
  <c r="AW438" i="5"/>
  <c r="AW493" i="5"/>
  <c r="AW375" i="5"/>
  <c r="AW456" i="5"/>
  <c r="AW536" i="5"/>
  <c r="AW524" i="5"/>
  <c r="AW546" i="5"/>
  <c r="AW531" i="5"/>
  <c r="AW348" i="5"/>
  <c r="AW259" i="5"/>
  <c r="AW397" i="5"/>
  <c r="AW453" i="5"/>
  <c r="AW511" i="5"/>
  <c r="AW450" i="5"/>
  <c r="AW503" i="5"/>
  <c r="AW414" i="5"/>
  <c r="AW472" i="5"/>
  <c r="AW544" i="5"/>
  <c r="AW559" i="5"/>
  <c r="AW560" i="5"/>
  <c r="AW474" i="5"/>
  <c r="AW470" i="5"/>
  <c r="AW424" i="5"/>
  <c r="AW471" i="5"/>
  <c r="AW364" i="5"/>
  <c r="AW537" i="5"/>
  <c r="AW491" i="5"/>
  <c r="AW529" i="5"/>
  <c r="AW323" i="5"/>
  <c r="AW463" i="5"/>
  <c r="AW261" i="5"/>
  <c r="AW407" i="5"/>
  <c r="AW513" i="5"/>
  <c r="AW468" i="5"/>
  <c r="V56" i="5"/>
  <c r="V372" i="5"/>
  <c r="V475" i="5"/>
  <c r="U181" i="5"/>
  <c r="U497" i="5"/>
  <c r="V497" i="5"/>
  <c r="V510" i="5"/>
  <c r="V529" i="5"/>
  <c r="V338" i="5"/>
  <c r="U338" i="5"/>
  <c r="U120" i="5"/>
  <c r="V369" i="5"/>
  <c r="U369" i="5"/>
  <c r="U196" i="5"/>
  <c r="V138" i="5"/>
  <c r="V107" i="5"/>
  <c r="U107" i="5"/>
  <c r="BB295" i="5"/>
  <c r="V436" i="5"/>
  <c r="V479" i="5"/>
  <c r="V534" i="5"/>
  <c r="U534" i="5"/>
  <c r="U55" i="5"/>
  <c r="V558" i="5"/>
  <c r="U558" i="5"/>
  <c r="U467" i="5"/>
  <c r="U358" i="5"/>
  <c r="V358" i="5"/>
  <c r="U447" i="5"/>
  <c r="V376" i="5"/>
  <c r="U376" i="5"/>
  <c r="U538" i="5"/>
  <c r="V538" i="5"/>
  <c r="U533" i="5"/>
  <c r="V533" i="5"/>
  <c r="U357" i="5"/>
  <c r="V357" i="5"/>
  <c r="U367" i="5"/>
  <c r="V367" i="5"/>
  <c r="U392" i="5"/>
  <c r="V392" i="5"/>
  <c r="V307" i="5"/>
  <c r="U160" i="5"/>
  <c r="U219" i="5"/>
  <c r="U71" i="5"/>
  <c r="V71" i="5"/>
  <c r="U45" i="5"/>
  <c r="V45" i="5"/>
  <c r="U337" i="5"/>
  <c r="V305" i="5"/>
  <c r="U305" i="5"/>
  <c r="V75" i="5"/>
  <c r="U469" i="5"/>
  <c r="V228" i="5"/>
  <c r="U228" i="5"/>
  <c r="U437" i="5"/>
  <c r="V437" i="5"/>
  <c r="U332" i="5"/>
  <c r="V332" i="5"/>
  <c r="V113" i="5"/>
  <c r="U113" i="5"/>
  <c r="V438" i="5"/>
  <c r="V341" i="5"/>
  <c r="U341" i="5"/>
  <c r="V261" i="5"/>
  <c r="U261" i="5"/>
  <c r="V229" i="5"/>
  <c r="U229" i="5"/>
  <c r="V115" i="5"/>
  <c r="U115" i="5"/>
  <c r="V80" i="5"/>
  <c r="V33" i="5"/>
  <c r="U33" i="5"/>
  <c r="V34" i="5"/>
  <c r="U34" i="5"/>
  <c r="U252" i="5"/>
  <c r="V252" i="5"/>
  <c r="V211" i="5"/>
  <c r="V169" i="5"/>
  <c r="U169" i="5"/>
  <c r="U64" i="5"/>
  <c r="V64" i="5"/>
  <c r="U350" i="5"/>
  <c r="V350" i="5"/>
  <c r="U304" i="5"/>
  <c r="V304" i="5"/>
  <c r="U153" i="5"/>
  <c r="V143" i="5"/>
  <c r="U143" i="5"/>
  <c r="U493" i="5"/>
  <c r="V493" i="5"/>
  <c r="V106" i="5"/>
  <c r="U106" i="5"/>
  <c r="V76" i="5"/>
  <c r="U30" i="5"/>
  <c r="V30" i="5"/>
  <c r="AJ93" i="5"/>
  <c r="AJ49" i="5"/>
  <c r="AL49" i="5" s="1"/>
  <c r="AJ105" i="5"/>
  <c r="AK105" i="5" s="1"/>
  <c r="AJ75" i="5"/>
  <c r="AL75" i="5" s="1"/>
  <c r="AJ188" i="5"/>
  <c r="AK188" i="5" s="1"/>
  <c r="AJ146" i="5"/>
  <c r="AJ77" i="5"/>
  <c r="AK77" i="5" s="1"/>
  <c r="AJ169" i="5"/>
  <c r="AK169" i="5" s="1"/>
  <c r="AJ195" i="5"/>
  <c r="AL195" i="5" s="1"/>
  <c r="AJ156" i="5"/>
  <c r="AL156" i="5" s="1"/>
  <c r="AJ87" i="5"/>
  <c r="AK87" i="5" s="1"/>
  <c r="AJ24" i="5"/>
  <c r="AL24" i="5" s="1"/>
  <c r="AJ44" i="5"/>
  <c r="AK44" i="5" s="1"/>
  <c r="BA20" i="5"/>
  <c r="BB20" i="5"/>
  <c r="U503" i="5"/>
  <c r="V503" i="5"/>
  <c r="V494" i="5"/>
  <c r="U494" i="5"/>
  <c r="V74" i="5"/>
  <c r="V370" i="5"/>
  <c r="U370" i="5"/>
  <c r="V551" i="5"/>
  <c r="U551" i="5"/>
  <c r="U507" i="5"/>
  <c r="V507" i="5"/>
  <c r="V388" i="5"/>
  <c r="U388" i="5"/>
  <c r="U166" i="5"/>
  <c r="V166" i="5"/>
  <c r="U389" i="5"/>
  <c r="U111" i="5"/>
  <c r="U65" i="5"/>
  <c r="V65" i="5"/>
  <c r="U157" i="5"/>
  <c r="V470" i="5"/>
  <c r="V295" i="5"/>
  <c r="U295" i="5"/>
  <c r="V58" i="5"/>
  <c r="U347" i="5"/>
  <c r="V284" i="5"/>
  <c r="U284" i="5"/>
  <c r="U212" i="5"/>
  <c r="U194" i="5"/>
  <c r="V194" i="5"/>
  <c r="V531" i="5"/>
  <c r="U531" i="5"/>
  <c r="V546" i="5"/>
  <c r="U546" i="5"/>
  <c r="U501" i="5"/>
  <c r="V501" i="5"/>
  <c r="U408" i="5"/>
  <c r="V281" i="5"/>
  <c r="U281" i="5"/>
  <c r="U258" i="5"/>
  <c r="V258" i="5"/>
  <c r="U144" i="5"/>
  <c r="V132" i="5"/>
  <c r="V272" i="5"/>
  <c r="U272" i="5"/>
  <c r="U237" i="5"/>
  <c r="V237" i="5"/>
  <c r="V336" i="5"/>
  <c r="U336" i="5"/>
  <c r="U456" i="5"/>
  <c r="V456" i="5"/>
  <c r="V443" i="5"/>
  <c r="U443" i="5"/>
  <c r="U345" i="5"/>
  <c r="V47" i="5"/>
  <c r="AJ28" i="5"/>
  <c r="AL28" i="5" s="1"/>
  <c r="AJ158" i="5"/>
  <c r="AL158" i="5" s="1"/>
  <c r="AJ27" i="5"/>
  <c r="AK27" i="5" s="1"/>
  <c r="AJ164" i="5"/>
  <c r="AL164" i="5" s="1"/>
  <c r="AJ40" i="5"/>
  <c r="AL40" i="5" s="1"/>
  <c r="AJ174" i="5"/>
  <c r="AL174" i="5" s="1"/>
  <c r="AJ125" i="5"/>
  <c r="AK125" i="5" s="1"/>
  <c r="AJ61" i="5"/>
  <c r="AJ153" i="5"/>
  <c r="AK153" i="5" s="1"/>
  <c r="AJ184" i="5"/>
  <c r="AK184" i="5" s="1"/>
  <c r="AJ143" i="5"/>
  <c r="AL143" i="5" s="1"/>
  <c r="AJ71" i="5"/>
  <c r="AJ165" i="5"/>
  <c r="AK165" i="5" s="1"/>
  <c r="AJ138" i="5"/>
  <c r="AK138" i="5" s="1"/>
  <c r="U37" i="5"/>
  <c r="BB278" i="5"/>
  <c r="BA116" i="5"/>
  <c r="BB116" i="5"/>
  <c r="BB91" i="5"/>
  <c r="BA91" i="5"/>
  <c r="BA255" i="5"/>
  <c r="BB255" i="5"/>
  <c r="BA290" i="5"/>
  <c r="BB290" i="5"/>
  <c r="BA196" i="5"/>
  <c r="BB196" i="5"/>
  <c r="BA139" i="5"/>
  <c r="BB139" i="5"/>
  <c r="BB59" i="5"/>
  <c r="BA59" i="5"/>
  <c r="BB318" i="5"/>
  <c r="BA164" i="5"/>
  <c r="BB164" i="5"/>
  <c r="BB140" i="5"/>
  <c r="BA140" i="5"/>
  <c r="U93" i="5"/>
  <c r="V93" i="5"/>
  <c r="V226" i="5"/>
  <c r="V427" i="5"/>
  <c r="U427" i="5"/>
  <c r="U530" i="5"/>
  <c r="V530" i="5"/>
  <c r="U351" i="5"/>
  <c r="V351" i="5"/>
  <c r="V289" i="5"/>
  <c r="U289" i="5"/>
  <c r="V425" i="5"/>
  <c r="U496" i="5"/>
  <c r="V95" i="5"/>
  <c r="U95" i="5"/>
  <c r="U319" i="5"/>
  <c r="V319" i="5"/>
  <c r="U259" i="5"/>
  <c r="V186" i="5"/>
  <c r="U186" i="5"/>
  <c r="V269" i="5"/>
  <c r="U269" i="5"/>
  <c r="V257" i="5"/>
  <c r="U257" i="5"/>
  <c r="U198" i="5"/>
  <c r="V198" i="5"/>
  <c r="U167" i="5"/>
  <c r="V167" i="5"/>
  <c r="U97" i="5"/>
  <c r="V97" i="5"/>
  <c r="U23" i="5"/>
  <c r="V23" i="5"/>
  <c r="U340" i="5"/>
  <c r="V340" i="5"/>
  <c r="U371" i="5"/>
  <c r="V371" i="5"/>
  <c r="U197" i="5"/>
  <c r="V197" i="5"/>
  <c r="V165" i="5"/>
  <c r="U19" i="5"/>
  <c r="V19" i="5"/>
  <c r="U516" i="5"/>
  <c r="V516" i="5"/>
  <c r="U361" i="5"/>
  <c r="V361" i="5"/>
  <c r="U280" i="5"/>
  <c r="V280" i="5"/>
  <c r="V302" i="5"/>
  <c r="U302" i="5"/>
  <c r="V164" i="5"/>
  <c r="U164" i="5"/>
  <c r="V29" i="5"/>
  <c r="U29" i="5"/>
  <c r="V411" i="5"/>
  <c r="U364" i="5"/>
  <c r="V364" i="5"/>
  <c r="U293" i="5"/>
  <c r="V293" i="5"/>
  <c r="V251" i="5"/>
  <c r="U251" i="5"/>
  <c r="V241" i="5"/>
  <c r="U241" i="5"/>
  <c r="U185" i="5"/>
  <c r="V185" i="5"/>
  <c r="V133" i="5"/>
  <c r="U133" i="5"/>
  <c r="U188" i="5"/>
  <c r="V188" i="5"/>
  <c r="U161" i="5"/>
  <c r="U117" i="5"/>
  <c r="V117" i="5"/>
  <c r="U105" i="5"/>
  <c r="V105" i="5"/>
  <c r="AJ33" i="5"/>
  <c r="AJ141" i="5"/>
  <c r="AJ29" i="5"/>
  <c r="AJ64" i="5"/>
  <c r="AJ97" i="5"/>
  <c r="AJ129" i="5"/>
  <c r="AJ160" i="5"/>
  <c r="AJ176" i="5"/>
  <c r="AJ62" i="5"/>
  <c r="AJ185" i="5"/>
  <c r="AJ203" i="5"/>
  <c r="AJ219" i="5"/>
  <c r="AJ233" i="5"/>
  <c r="AJ255" i="5"/>
  <c r="AJ270" i="5"/>
  <c r="AJ286" i="5"/>
  <c r="AJ302" i="5"/>
  <c r="AJ319" i="5"/>
  <c r="AJ55" i="5"/>
  <c r="AJ107" i="5"/>
  <c r="AJ139" i="5"/>
  <c r="AJ186" i="5"/>
  <c r="AJ202" i="5"/>
  <c r="AJ218" i="5"/>
  <c r="AJ235" i="5"/>
  <c r="AJ20" i="5"/>
  <c r="AJ67" i="5"/>
  <c r="AJ193" i="5"/>
  <c r="AJ212" i="5"/>
  <c r="AJ231" i="5"/>
  <c r="AJ244" i="5"/>
  <c r="AJ252" i="5"/>
  <c r="AJ260" i="5"/>
  <c r="AJ276" i="5"/>
  <c r="AJ292" i="5"/>
  <c r="AJ308" i="5"/>
  <c r="AJ324" i="5"/>
  <c r="AJ194" i="5"/>
  <c r="AJ264" i="5"/>
  <c r="AJ296" i="5"/>
  <c r="AJ321" i="5"/>
  <c r="AJ339" i="5"/>
  <c r="AJ355" i="5"/>
  <c r="AJ371" i="5"/>
  <c r="AJ383" i="5"/>
  <c r="AJ396" i="5"/>
  <c r="AJ462" i="5"/>
  <c r="AJ478" i="5"/>
  <c r="AJ494" i="5"/>
  <c r="AJ509" i="5"/>
  <c r="AJ519" i="5"/>
  <c r="AJ529" i="5"/>
  <c r="AJ543" i="5"/>
  <c r="AJ559" i="5"/>
  <c r="AJ127" i="5"/>
  <c r="AJ221" i="5"/>
  <c r="AJ269" i="5"/>
  <c r="AJ301" i="5"/>
  <c r="AJ318" i="5"/>
  <c r="AJ333" i="5"/>
  <c r="AJ349" i="5"/>
  <c r="AJ365" i="5"/>
  <c r="AJ385" i="5"/>
  <c r="AJ401" i="5"/>
  <c r="AJ417" i="5"/>
  <c r="AJ433" i="5"/>
  <c r="AJ253" i="5"/>
  <c r="AJ271" i="5"/>
  <c r="AJ303" i="5"/>
  <c r="AJ389" i="5"/>
  <c r="AJ403" i="5"/>
  <c r="AJ419" i="5"/>
  <c r="AJ435" i="5"/>
  <c r="AJ451" i="5"/>
  <c r="AJ467" i="5"/>
  <c r="AJ483" i="5"/>
  <c r="AJ499" i="5"/>
  <c r="AJ514" i="5"/>
  <c r="AJ530" i="5"/>
  <c r="AJ540" i="5"/>
  <c r="AJ548" i="5"/>
  <c r="AJ209" i="5"/>
  <c r="AJ344" i="5"/>
  <c r="AJ376" i="5"/>
  <c r="AJ59" i="5"/>
  <c r="AJ157" i="5"/>
  <c r="AJ34" i="5"/>
  <c r="AJ66" i="5"/>
  <c r="AJ101" i="5"/>
  <c r="AJ133" i="5"/>
  <c r="AJ162" i="5"/>
  <c r="AJ180" i="5"/>
  <c r="AJ89" i="5"/>
  <c r="AJ189" i="5"/>
  <c r="AJ207" i="5"/>
  <c r="AJ223" i="5"/>
  <c r="AJ239" i="5"/>
  <c r="AJ259" i="5"/>
  <c r="AJ275" i="5"/>
  <c r="AJ291" i="5"/>
  <c r="AJ307" i="5"/>
  <c r="AJ326" i="5"/>
  <c r="AJ73" i="5"/>
  <c r="AJ115" i="5"/>
  <c r="AJ148" i="5"/>
  <c r="AJ190" i="5"/>
  <c r="AJ206" i="5"/>
  <c r="AJ222" i="5"/>
  <c r="AJ238" i="5"/>
  <c r="AJ30" i="5"/>
  <c r="AJ76" i="5"/>
  <c r="AJ200" i="5"/>
  <c r="AJ216" i="5"/>
  <c r="AJ234" i="5"/>
  <c r="AJ246" i="5"/>
  <c r="AJ254" i="5"/>
  <c r="AJ262" i="5"/>
  <c r="AJ278" i="5"/>
  <c r="AJ294" i="5"/>
  <c r="AJ312" i="5"/>
  <c r="AJ119" i="5"/>
  <c r="AJ227" i="5"/>
  <c r="AJ277" i="5"/>
  <c r="AJ309" i="5"/>
  <c r="AJ325" i="5"/>
  <c r="AJ343" i="5"/>
  <c r="AJ359" i="5"/>
  <c r="AJ375" i="5"/>
  <c r="AJ388" i="5"/>
  <c r="AJ398" i="5"/>
  <c r="AJ464" i="5"/>
  <c r="AJ480" i="5"/>
  <c r="AJ496" i="5"/>
  <c r="AJ511" i="5"/>
  <c r="AJ523" i="5"/>
  <c r="AJ533" i="5"/>
  <c r="AJ547" i="5"/>
  <c r="AJ23" i="5"/>
  <c r="AJ196" i="5"/>
  <c r="AJ230" i="5"/>
  <c r="AJ274" i="5"/>
  <c r="AJ306" i="5"/>
  <c r="B76" i="5"/>
  <c r="AJ91" i="5"/>
  <c r="AJ173" i="5"/>
  <c r="AJ50" i="5"/>
  <c r="AJ82" i="5"/>
  <c r="AJ117" i="5"/>
  <c r="AJ154" i="5"/>
  <c r="AJ170" i="5"/>
  <c r="AJ52" i="5"/>
  <c r="AJ181" i="5"/>
  <c r="AJ199" i="5"/>
  <c r="AJ215" i="5"/>
  <c r="AJ228" i="5"/>
  <c r="AJ251" i="5"/>
  <c r="AJ268" i="5"/>
  <c r="AJ284" i="5"/>
  <c r="AJ300" i="5"/>
  <c r="AJ315" i="5"/>
  <c r="AJ46" i="5"/>
  <c r="AJ99" i="5"/>
  <c r="AJ131" i="5"/>
  <c r="AJ182" i="5"/>
  <c r="AJ198" i="5"/>
  <c r="AJ214" i="5"/>
  <c r="AJ229" i="5"/>
  <c r="AJ242" i="5"/>
  <c r="AJ57" i="5"/>
  <c r="AJ178" i="5"/>
  <c r="AJ208" i="5"/>
  <c r="AJ225" i="5"/>
  <c r="AJ241" i="5"/>
  <c r="AJ250" i="5"/>
  <c r="AJ258" i="5"/>
  <c r="AJ273" i="5"/>
  <c r="AJ289" i="5"/>
  <c r="AJ305" i="5"/>
  <c r="AJ320" i="5"/>
  <c r="AJ179" i="5"/>
  <c r="AJ247" i="5"/>
  <c r="AJ287" i="5"/>
  <c r="AJ317" i="5"/>
  <c r="AJ335" i="5"/>
  <c r="AJ351" i="5"/>
  <c r="AJ367" i="5"/>
  <c r="AJ379" i="5"/>
  <c r="AJ394" i="5"/>
  <c r="AJ459" i="5"/>
  <c r="AJ475" i="5"/>
  <c r="AJ491" i="5"/>
  <c r="AJ507" i="5"/>
  <c r="AJ517" i="5"/>
  <c r="AJ527" i="5"/>
  <c r="AJ539" i="5"/>
  <c r="AJ555" i="5"/>
  <c r="AJ95" i="5"/>
  <c r="AJ213" i="5"/>
  <c r="AJ249" i="5"/>
  <c r="AJ288" i="5"/>
  <c r="AJ314" i="5"/>
  <c r="AJ331" i="5"/>
  <c r="AJ345" i="5"/>
  <c r="AJ361" i="5"/>
  <c r="AJ381" i="5"/>
  <c r="AJ395" i="5"/>
  <c r="AJ413" i="5"/>
  <c r="AJ429" i="5"/>
  <c r="AJ232" i="5"/>
  <c r="AJ266" i="5"/>
  <c r="AJ298" i="5"/>
  <c r="AJ378" i="5"/>
  <c r="AJ399" i="5"/>
  <c r="AJ415" i="5"/>
  <c r="AJ431" i="5"/>
  <c r="AJ447" i="5"/>
  <c r="AJ461" i="5"/>
  <c r="AJ477" i="5"/>
  <c r="AJ493" i="5"/>
  <c r="AJ508" i="5"/>
  <c r="AJ524" i="5"/>
  <c r="AJ538" i="5"/>
  <c r="AJ546" i="5"/>
  <c r="AJ144" i="5"/>
  <c r="AJ336" i="5"/>
  <c r="AJ368" i="5"/>
  <c r="AJ408" i="5"/>
  <c r="AJ161" i="5"/>
  <c r="AJ150" i="5"/>
  <c r="AJ197" i="5"/>
  <c r="AJ265" i="5"/>
  <c r="AJ36" i="5"/>
  <c r="AJ192" i="5"/>
  <c r="AJ39" i="5"/>
  <c r="AJ236" i="5"/>
  <c r="AJ283" i="5"/>
  <c r="AJ237" i="5"/>
  <c r="AJ347" i="5"/>
  <c r="AJ453" i="5"/>
  <c r="AJ513" i="5"/>
  <c r="AJ60" i="5"/>
  <c r="AJ310" i="5"/>
  <c r="AJ341" i="5"/>
  <c r="AJ373" i="5"/>
  <c r="AJ409" i="5"/>
  <c r="AJ135" i="5"/>
  <c r="AJ293" i="5"/>
  <c r="AJ393" i="5"/>
  <c r="AJ427" i="5"/>
  <c r="AJ456" i="5"/>
  <c r="AJ488" i="5"/>
  <c r="AJ520" i="5"/>
  <c r="AJ544" i="5"/>
  <c r="AJ327" i="5"/>
  <c r="AJ400" i="5"/>
  <c r="AJ437" i="5"/>
  <c r="AJ458" i="5"/>
  <c r="AJ490" i="5"/>
  <c r="AJ560" i="5"/>
  <c r="AJ500" i="5"/>
  <c r="AJ541" i="5"/>
  <c r="AJ406" i="5"/>
  <c r="AJ466" i="5"/>
  <c r="AJ263" i="5"/>
  <c r="AJ354" i="5"/>
  <c r="AJ402" i="5"/>
  <c r="AJ434" i="5"/>
  <c r="AJ450" i="5"/>
  <c r="AJ528" i="5"/>
  <c r="AJ436" i="5"/>
  <c r="AJ78" i="5"/>
  <c r="AJ348" i="5"/>
  <c r="AJ380" i="5"/>
  <c r="AJ428" i="5"/>
  <c r="AJ474" i="5"/>
  <c r="AJ506" i="5"/>
  <c r="AJ526" i="5"/>
  <c r="AJ111" i="5"/>
  <c r="AJ334" i="5"/>
  <c r="AJ366" i="5"/>
  <c r="AJ444" i="5"/>
  <c r="AJ554" i="5"/>
  <c r="AJ175" i="5"/>
  <c r="AJ136" i="5"/>
  <c r="AJ31" i="5"/>
  <c r="AJ86" i="5"/>
  <c r="AJ22" i="5"/>
  <c r="AJ132" i="5"/>
  <c r="AJ124" i="5"/>
  <c r="AJ85" i="5"/>
  <c r="AJ163" i="5"/>
  <c r="AJ130" i="5"/>
  <c r="AJ191" i="5"/>
  <c r="AJ110" i="5"/>
  <c r="AJ42" i="5"/>
  <c r="AJ100" i="5"/>
  <c r="AJ79" i="5"/>
  <c r="AJ32" i="5"/>
  <c r="AJ53" i="5"/>
  <c r="AJ45" i="5"/>
  <c r="AJ168" i="5"/>
  <c r="AJ211" i="5"/>
  <c r="AJ281" i="5"/>
  <c r="AJ83" i="5"/>
  <c r="AJ210" i="5"/>
  <c r="AJ142" i="5"/>
  <c r="AJ248" i="5"/>
  <c r="AJ299" i="5"/>
  <c r="AJ282" i="5"/>
  <c r="AJ363" i="5"/>
  <c r="AJ469" i="5"/>
  <c r="AJ525" i="5"/>
  <c r="AJ205" i="5"/>
  <c r="AJ322" i="5"/>
  <c r="AJ353" i="5"/>
  <c r="AJ387" i="5"/>
  <c r="AJ421" i="5"/>
  <c r="AJ257" i="5"/>
  <c r="AJ323" i="5"/>
  <c r="AJ407" i="5"/>
  <c r="AJ439" i="5"/>
  <c r="AJ470" i="5"/>
  <c r="AJ502" i="5"/>
  <c r="AJ532" i="5"/>
  <c r="AJ550" i="5"/>
  <c r="AJ352" i="5"/>
  <c r="AJ416" i="5"/>
  <c r="AJ441" i="5"/>
  <c r="AJ471" i="5"/>
  <c r="AJ503" i="5"/>
  <c r="AJ463" i="5"/>
  <c r="AJ512" i="5"/>
  <c r="AJ549" i="5"/>
  <c r="AJ422" i="5"/>
  <c r="AJ479" i="5"/>
  <c r="AJ329" i="5"/>
  <c r="AJ362" i="5"/>
  <c r="AJ410" i="5"/>
  <c r="AJ438" i="5"/>
  <c r="AJ468" i="5"/>
  <c r="AJ545" i="5"/>
  <c r="AJ452" i="5"/>
  <c r="AJ285" i="5"/>
  <c r="AJ356" i="5"/>
  <c r="AJ404" i="5"/>
  <c r="AJ455" i="5"/>
  <c r="AJ487" i="5"/>
  <c r="AJ510" i="5"/>
  <c r="AJ534" i="5"/>
  <c r="AJ201" i="5"/>
  <c r="AJ342" i="5"/>
  <c r="AJ397" i="5"/>
  <c r="AJ457" i="5"/>
  <c r="AJ120" i="5"/>
  <c r="AJ81" i="5"/>
  <c r="AJ187" i="5"/>
  <c r="AJ70" i="5"/>
  <c r="AJ159" i="5"/>
  <c r="AJ116" i="5"/>
  <c r="AJ104" i="5"/>
  <c r="AJ106" i="5"/>
  <c r="AJ171" i="5"/>
  <c r="AJ134" i="5"/>
  <c r="AJ98" i="5"/>
  <c r="AJ80" i="5"/>
  <c r="AJ25" i="5"/>
  <c r="AJ226" i="5"/>
  <c r="AJ297" i="5"/>
  <c r="AJ123" i="5"/>
  <c r="AJ224" i="5"/>
  <c r="AJ204" i="5"/>
  <c r="AJ256" i="5"/>
  <c r="AJ316" i="5"/>
  <c r="AJ313" i="5"/>
  <c r="AJ377" i="5"/>
  <c r="AJ485" i="5"/>
  <c r="AJ535" i="5"/>
  <c r="AJ245" i="5"/>
  <c r="AJ328" i="5"/>
  <c r="AJ357" i="5"/>
  <c r="AJ392" i="5"/>
  <c r="AJ425" i="5"/>
  <c r="AJ261" i="5"/>
  <c r="AJ332" i="5"/>
  <c r="AJ411" i="5"/>
  <c r="AJ443" i="5"/>
  <c r="AJ472" i="5"/>
  <c r="AJ504" i="5"/>
  <c r="AJ536" i="5"/>
  <c r="AJ552" i="5"/>
  <c r="AJ360" i="5"/>
  <c r="AJ424" i="5"/>
  <c r="AJ445" i="5"/>
  <c r="AJ476" i="5"/>
  <c r="AJ515" i="5"/>
  <c r="AJ473" i="5"/>
  <c r="AJ521" i="5"/>
  <c r="AJ553" i="5"/>
  <c r="AJ440" i="5"/>
  <c r="AJ41" i="5"/>
  <c r="AJ338" i="5"/>
  <c r="AJ370" i="5"/>
  <c r="AJ418" i="5"/>
  <c r="AJ442" i="5"/>
  <c r="AJ482" i="5"/>
  <c r="AJ558" i="5"/>
  <c r="AJ489" i="5"/>
  <c r="AJ304" i="5"/>
  <c r="AJ364" i="5"/>
  <c r="AJ412" i="5"/>
  <c r="AJ460" i="5"/>
  <c r="AJ492" i="5"/>
  <c r="AJ518" i="5"/>
  <c r="AJ556" i="5"/>
  <c r="AJ272" i="5"/>
  <c r="AJ350" i="5"/>
  <c r="AJ414" i="5"/>
  <c r="AJ484" i="5"/>
  <c r="AJ65" i="5"/>
  <c r="AJ128" i="5"/>
  <c r="AJ54" i="5"/>
  <c r="AJ112" i="5"/>
  <c r="AJ149" i="5"/>
  <c r="AJ108" i="5"/>
  <c r="AJ8" i="5"/>
  <c r="AJ140" i="5"/>
  <c r="AJ122" i="5"/>
  <c r="AJ90" i="5"/>
  <c r="AJ126" i="5"/>
  <c r="AJ102" i="5"/>
  <c r="AJ74" i="5"/>
  <c r="AJ51" i="5"/>
  <c r="AJ35" i="5"/>
  <c r="AJ92" i="5"/>
  <c r="AJ26" i="5"/>
  <c r="AJ72" i="5"/>
  <c r="AJ113" i="5"/>
  <c r="AJ177" i="5"/>
  <c r="AJ152" i="5"/>
  <c r="AJ551" i="5"/>
  <c r="AJ405" i="5"/>
  <c r="AJ423" i="5"/>
  <c r="AJ542" i="5"/>
  <c r="AJ449" i="5"/>
  <c r="AJ537" i="5"/>
  <c r="AJ346" i="5"/>
  <c r="AJ505" i="5"/>
  <c r="AJ372" i="5"/>
  <c r="AJ522" i="5"/>
  <c r="AJ430" i="5"/>
  <c r="AJ151" i="5"/>
  <c r="AJ167" i="5"/>
  <c r="AJ118" i="5"/>
  <c r="AJ37" i="5"/>
  <c r="AJ137" i="5"/>
  <c r="AJ240" i="5"/>
  <c r="AJ330" i="5"/>
  <c r="AJ279" i="5"/>
  <c r="AJ103" i="5"/>
  <c r="AJ454" i="5"/>
  <c r="AJ295" i="5"/>
  <c r="AJ481" i="5"/>
  <c r="AJ374" i="5"/>
  <c r="AJ386" i="5"/>
  <c r="AJ382" i="5"/>
  <c r="AJ420" i="5"/>
  <c r="AJ19" i="5"/>
  <c r="AJ498" i="5"/>
  <c r="AJ47" i="5"/>
  <c r="AJ114" i="5"/>
  <c r="AJ69" i="5"/>
  <c r="AJ58" i="5"/>
  <c r="AJ96" i="5"/>
  <c r="AJ21" i="5"/>
  <c r="AJ243" i="5"/>
  <c r="AJ220" i="5"/>
  <c r="AJ390" i="5"/>
  <c r="AJ337" i="5"/>
  <c r="AJ280" i="5"/>
  <c r="AJ486" i="5"/>
  <c r="AJ384" i="5"/>
  <c r="AJ531" i="5"/>
  <c r="AJ448" i="5"/>
  <c r="AJ426" i="5"/>
  <c r="AJ557" i="5"/>
  <c r="AJ465" i="5"/>
  <c r="AJ290" i="5"/>
  <c r="AJ145" i="5"/>
  <c r="AJ94" i="5"/>
  <c r="AJ63" i="5"/>
  <c r="AJ88" i="5"/>
  <c r="AJ311" i="5"/>
  <c r="AJ391" i="5"/>
  <c r="AJ217" i="5"/>
  <c r="AJ358" i="5"/>
  <c r="AJ183" i="5"/>
  <c r="AJ48" i="5"/>
  <c r="AJ267" i="5"/>
  <c r="AJ516" i="5"/>
  <c r="AJ446" i="5"/>
  <c r="AJ155" i="5"/>
  <c r="AJ501" i="5"/>
  <c r="AJ432" i="5"/>
  <c r="AJ340" i="5"/>
  <c r="AJ369" i="5"/>
  <c r="AJ495" i="5"/>
  <c r="AJ38" i="5"/>
  <c r="AJ497" i="5"/>
  <c r="AJ68" i="5"/>
  <c r="B25" i="2"/>
  <c r="H17" i="1"/>
  <c r="AX7" i="5"/>
  <c r="AY7" i="5"/>
  <c r="AK56" i="5"/>
  <c r="AL56" i="5"/>
  <c r="V368" i="5" l="1"/>
  <c r="U550" i="5"/>
  <c r="U283" i="5"/>
  <c r="V243" i="5"/>
  <c r="V423" i="5"/>
  <c r="U316" i="5"/>
  <c r="U158" i="5"/>
  <c r="U334" i="5"/>
  <c r="U232" i="5"/>
  <c r="U154" i="5"/>
  <c r="V325" i="5"/>
  <c r="U265" i="5"/>
  <c r="U326" i="5"/>
  <c r="U489" i="5"/>
  <c r="V342" i="5"/>
  <c r="AL166" i="5"/>
  <c r="U403" i="5"/>
  <c r="U506" i="5"/>
  <c r="V39" i="5"/>
  <c r="V311" i="5"/>
  <c r="V541" i="5"/>
  <c r="U206" i="5"/>
  <c r="V142" i="5"/>
  <c r="V521" i="5"/>
  <c r="U87" i="5"/>
  <c r="V205" i="5"/>
  <c r="U156" i="5"/>
  <c r="V286" i="5"/>
  <c r="V191" i="5"/>
  <c r="U547" i="5"/>
  <c r="V217" i="5"/>
  <c r="U124" i="5"/>
  <c r="V461" i="5"/>
  <c r="V401" i="5"/>
  <c r="U379" i="5"/>
  <c r="V72" i="5"/>
  <c r="V429" i="5"/>
  <c r="V99" i="5"/>
  <c r="U163" i="5"/>
  <c r="V502" i="5"/>
  <c r="V329" i="5"/>
  <c r="V193" i="5"/>
  <c r="U268" i="5"/>
  <c r="U390" i="5"/>
  <c r="V544" i="5"/>
  <c r="U416" i="5"/>
  <c r="V220" i="5"/>
  <c r="U354" i="5"/>
  <c r="U96" i="5"/>
  <c r="U440" i="5"/>
  <c r="V67" i="5"/>
  <c r="V255" i="5"/>
  <c r="U313" i="5"/>
  <c r="U53" i="5"/>
  <c r="U519" i="5"/>
  <c r="V412" i="5"/>
  <c r="U463" i="5"/>
  <c r="U500" i="5"/>
  <c r="U129" i="5"/>
  <c r="V556" i="5"/>
  <c r="U321" i="5"/>
  <c r="V177" i="5"/>
  <c r="U419" i="5"/>
  <c r="U553" i="5"/>
  <c r="V449" i="5"/>
  <c r="U532" i="5"/>
  <c r="V536" i="5"/>
  <c r="U487" i="5"/>
  <c r="U410" i="5"/>
  <c r="U323" i="5"/>
  <c r="U415" i="5"/>
  <c r="V224" i="5"/>
  <c r="V380" i="5"/>
  <c r="U355" i="5"/>
  <c r="U227" i="5"/>
  <c r="V81" i="5"/>
  <c r="V557" i="5"/>
  <c r="V360" i="5"/>
  <c r="U318" i="5"/>
  <c r="U85" i="5"/>
  <c r="V559" i="5"/>
  <c r="V264" i="5"/>
  <c r="U486" i="5"/>
  <c r="V172" i="5"/>
  <c r="V526" i="5"/>
  <c r="U102" i="5"/>
  <c r="V119" i="5"/>
  <c r="V254" i="5"/>
  <c r="U352" i="5"/>
  <c r="V299" i="5"/>
  <c r="U101" i="5"/>
  <c r="V384" i="5"/>
  <c r="U20" i="5"/>
  <c r="V46" i="5"/>
  <c r="U552" i="5"/>
  <c r="V222" i="5"/>
  <c r="V439" i="5"/>
  <c r="V282" i="5"/>
  <c r="AL147" i="5"/>
  <c r="V290" i="5"/>
  <c r="V216" i="5"/>
  <c r="U179" i="5"/>
  <c r="AK84" i="5"/>
  <c r="U499" i="5"/>
  <c r="V126" i="5"/>
  <c r="V508" i="5"/>
  <c r="V203" i="5"/>
  <c r="AL125" i="5"/>
  <c r="V245" i="5"/>
  <c r="U391" i="5"/>
  <c r="V271" i="5"/>
  <c r="V213" i="5"/>
  <c r="U310" i="5"/>
  <c r="V48" i="5"/>
  <c r="V244" i="5"/>
  <c r="V478" i="5"/>
  <c r="V366" i="5"/>
  <c r="V41" i="5"/>
  <c r="V173" i="5"/>
  <c r="V446" i="5"/>
  <c r="U63" i="5"/>
  <c r="AV100" i="5"/>
  <c r="AV23" i="5"/>
  <c r="U435" i="5"/>
  <c r="V472" i="5"/>
  <c r="U253" i="5"/>
  <c r="V61" i="5"/>
  <c r="V406" i="5"/>
  <c r="V150" i="5"/>
  <c r="V62" i="5"/>
  <c r="U373" i="5"/>
  <c r="V140" i="5"/>
  <c r="V223" i="5"/>
  <c r="U441" i="5"/>
  <c r="V279" i="5"/>
  <c r="U482" i="5"/>
  <c r="U483" i="5"/>
  <c r="V209" i="5"/>
  <c r="V375" i="5"/>
  <c r="V426" i="5"/>
  <c r="U147" i="5"/>
  <c r="U112" i="5"/>
  <c r="V103" i="5"/>
  <c r="V431" i="5"/>
  <c r="V395" i="5"/>
  <c r="V484" i="5"/>
  <c r="U378" i="5"/>
  <c r="U233" i="5"/>
  <c r="V100" i="5"/>
  <c r="U445" i="5"/>
  <c r="V346" i="5"/>
  <c r="V70" i="5"/>
  <c r="U148" i="5"/>
  <c r="U8" i="5"/>
  <c r="V387" i="5"/>
  <c r="V262" i="5"/>
  <c r="AK195" i="5"/>
  <c r="BA194" i="5"/>
  <c r="BA300" i="5"/>
  <c r="AU71" i="5"/>
  <c r="BA121" i="5"/>
  <c r="BA171" i="5"/>
  <c r="BA246" i="5"/>
  <c r="BA163" i="5"/>
  <c r="BB127" i="5"/>
  <c r="BB48" i="5"/>
  <c r="BA191" i="5"/>
  <c r="AV79" i="5"/>
  <c r="BB393" i="5"/>
  <c r="BB74" i="5"/>
  <c r="BA211" i="5"/>
  <c r="BB84" i="5"/>
  <c r="BB200" i="5"/>
  <c r="BB141" i="5"/>
  <c r="BA352" i="5"/>
  <c r="BB115" i="5"/>
  <c r="U131" i="5"/>
  <c r="U422" i="5"/>
  <c r="U381" i="5"/>
  <c r="V474" i="5"/>
  <c r="U92" i="5"/>
  <c r="U405" i="5"/>
  <c r="V275" i="5"/>
  <c r="V171" i="5"/>
  <c r="U109" i="5"/>
  <c r="U314" i="5"/>
  <c r="U398" i="5"/>
  <c r="V201" i="5"/>
  <c r="U300" i="5"/>
  <c r="U457" i="5"/>
  <c r="V327" i="5"/>
  <c r="U94" i="5"/>
  <c r="V155" i="5"/>
  <c r="U266" i="5"/>
  <c r="V208" i="5"/>
  <c r="V545" i="5"/>
  <c r="V78" i="5"/>
  <c r="U356" i="5"/>
  <c r="U90" i="5"/>
  <c r="V267" i="5"/>
  <c r="V444" i="5"/>
  <c r="U477" i="5"/>
  <c r="V322" i="5"/>
  <c r="V42" i="5"/>
  <c r="U182" i="5"/>
  <c r="V249" i="5"/>
  <c r="V192" i="5"/>
  <c r="AK109" i="5"/>
  <c r="U407" i="5"/>
  <c r="V324" i="5"/>
  <c r="U199" i="5"/>
  <c r="U288" i="5"/>
  <c r="U377" i="5"/>
  <c r="U135" i="5"/>
  <c r="V170" i="5"/>
  <c r="U309" i="5"/>
  <c r="U448" i="5"/>
  <c r="U86" i="5"/>
  <c r="V114" i="5"/>
  <c r="V44" i="5"/>
  <c r="U152" i="5"/>
  <c r="U535" i="5"/>
  <c r="U549" i="5"/>
  <c r="V339" i="5"/>
  <c r="U498" i="5"/>
  <c r="V110" i="5"/>
  <c r="V543" i="5"/>
  <c r="AK75" i="5"/>
  <c r="U127" i="5"/>
  <c r="U215" i="5"/>
  <c r="U517" i="5"/>
  <c r="U59" i="5"/>
  <c r="U77" i="5"/>
  <c r="V26" i="5"/>
  <c r="V285" i="5"/>
  <c r="V277" i="5"/>
  <c r="AL188" i="5"/>
  <c r="U238" i="5"/>
  <c r="AU131" i="5"/>
  <c r="AU29" i="5"/>
  <c r="AU187" i="5"/>
  <c r="AU249" i="5"/>
  <c r="AV88" i="5"/>
  <c r="AU54" i="5"/>
  <c r="AV103" i="5"/>
  <c r="AV121" i="5"/>
  <c r="AU173" i="5"/>
  <c r="BB160" i="5"/>
  <c r="AV51" i="5"/>
  <c r="AU96" i="5"/>
  <c r="BB314" i="5"/>
  <c r="BB265" i="5"/>
  <c r="BA223" i="5"/>
  <c r="BA80" i="5"/>
  <c r="BB219" i="5"/>
  <c r="BB351" i="5"/>
  <c r="BB43" i="5"/>
  <c r="BB179" i="5"/>
  <c r="BB288" i="5"/>
  <c r="BB234" i="5"/>
  <c r="BB126" i="5"/>
  <c r="BA236" i="5"/>
  <c r="BA256" i="5"/>
  <c r="BB183" i="5"/>
  <c r="BA344" i="5"/>
  <c r="BA123" i="5"/>
  <c r="BA190" i="5"/>
  <c r="BB266" i="5"/>
  <c r="BA168" i="5"/>
  <c r="BA81" i="5"/>
  <c r="BB220" i="5"/>
  <c r="BB199" i="5"/>
  <c r="BB112" i="5"/>
  <c r="BB269" i="5"/>
  <c r="BA282" i="5"/>
  <c r="BB208" i="5"/>
  <c r="BB71" i="5"/>
  <c r="BB261" i="5"/>
  <c r="BB113" i="5"/>
  <c r="BB176" i="5"/>
  <c r="AU69" i="5"/>
  <c r="AU92" i="5"/>
  <c r="AV110" i="5"/>
  <c r="AU138" i="5"/>
  <c r="AU46" i="5"/>
  <c r="AV286" i="5"/>
  <c r="AV176" i="5"/>
  <c r="AU160" i="5"/>
  <c r="AV53" i="5"/>
  <c r="BB284" i="5"/>
  <c r="AV20" i="5"/>
  <c r="AU63" i="5"/>
  <c r="AU41" i="5"/>
  <c r="AV90" i="5"/>
  <c r="BA198" i="5"/>
  <c r="BB86" i="5"/>
  <c r="BA197" i="5"/>
  <c r="BB302" i="5"/>
  <c r="BB222" i="5"/>
  <c r="BB251" i="5"/>
  <c r="BA202" i="5"/>
  <c r="BA154" i="5"/>
  <c r="BA242" i="5"/>
  <c r="BA309" i="5"/>
  <c r="BB95" i="5"/>
  <c r="BB68" i="5"/>
  <c r="AK158" i="5"/>
  <c r="U270" i="5"/>
  <c r="V128" i="5"/>
  <c r="V540" i="5"/>
  <c r="U513" i="5"/>
  <c r="V298" i="5"/>
  <c r="U386" i="5"/>
  <c r="V383" i="5"/>
  <c r="V60" i="5"/>
  <c r="U428" i="5"/>
  <c r="U418" i="5"/>
  <c r="U292" i="5"/>
  <c r="V348" i="5"/>
  <c r="U432" i="5"/>
  <c r="U54" i="5"/>
  <c r="V404" i="5"/>
  <c r="V464" i="5"/>
  <c r="V328" i="5"/>
  <c r="U27" i="5"/>
  <c r="U73" i="5"/>
  <c r="U273" i="5"/>
  <c r="U204" i="5"/>
  <c r="V473" i="5"/>
  <c r="V168" i="5"/>
  <c r="V424" i="5"/>
  <c r="U344" i="5"/>
  <c r="U539" i="5"/>
  <c r="U116" i="5"/>
  <c r="U365" i="5"/>
  <c r="U250" i="5"/>
  <c r="V276" i="5"/>
  <c r="V393" i="5"/>
  <c r="U297" i="5"/>
  <c r="U453" i="5"/>
  <c r="V57" i="5"/>
  <c r="U139" i="5"/>
  <c r="U146" i="5"/>
  <c r="V146" i="5"/>
  <c r="U317" i="5"/>
  <c r="V104" i="5"/>
  <c r="AL169" i="5"/>
  <c r="U420" i="5"/>
  <c r="V184" i="5"/>
  <c r="V235" i="5"/>
  <c r="U21" i="5"/>
  <c r="V452" i="5"/>
  <c r="V221" i="5"/>
  <c r="U230" i="5"/>
  <c r="V481" i="5"/>
  <c r="U306" i="5"/>
  <c r="U69" i="5"/>
  <c r="V200" i="5"/>
  <c r="U476" i="5"/>
  <c r="V202" i="5"/>
  <c r="V433" i="5"/>
  <c r="V315" i="5"/>
  <c r="V28" i="5"/>
  <c r="V524" i="5"/>
  <c r="U413" i="5"/>
  <c r="U195" i="5"/>
  <c r="U523" i="5"/>
  <c r="V430" i="5"/>
  <c r="U362" i="5"/>
  <c r="V68" i="5"/>
  <c r="U141" i="5"/>
  <c r="V136" i="5"/>
  <c r="AV312" i="5"/>
  <c r="AU307" i="5"/>
  <c r="AU39" i="5"/>
  <c r="BB138" i="5"/>
  <c r="AU327" i="5"/>
  <c r="AV246" i="5"/>
  <c r="BB134" i="5"/>
  <c r="BB346" i="5"/>
  <c r="BA24" i="5"/>
  <c r="BB82" i="5"/>
  <c r="BB97" i="5"/>
  <c r="BB283" i="5"/>
  <c r="AU91" i="5"/>
  <c r="AU153" i="5"/>
  <c r="BA60" i="5"/>
  <c r="BA61" i="5"/>
  <c r="AV273" i="5"/>
  <c r="AV22" i="5"/>
  <c r="BA98" i="5"/>
  <c r="BA232" i="5"/>
  <c r="BB73" i="5"/>
  <c r="BB27" i="5"/>
  <c r="BB26" i="5"/>
  <c r="BA221" i="5"/>
  <c r="AU83" i="5"/>
  <c r="BB110" i="5"/>
  <c r="BA114" i="5"/>
  <c r="BB83" i="5"/>
  <c r="BA184" i="5"/>
  <c r="BA66" i="5"/>
  <c r="AU299" i="5"/>
  <c r="AU324" i="5"/>
  <c r="BB78" i="5"/>
  <c r="BA166" i="5"/>
  <c r="BA240" i="5"/>
  <c r="BA70" i="5"/>
  <c r="BA178" i="5"/>
  <c r="BB159" i="5"/>
  <c r="BA188" i="5"/>
  <c r="BB56" i="5"/>
  <c r="BA117" i="5"/>
  <c r="BB111" i="5"/>
  <c r="BB262" i="5"/>
  <c r="BA64" i="5"/>
  <c r="V520" i="5"/>
  <c r="U145" i="5"/>
  <c r="U180" i="5"/>
  <c r="AL138" i="5"/>
  <c r="V246" i="5"/>
  <c r="V123" i="5"/>
  <c r="U400" i="5"/>
  <c r="V490" i="5"/>
  <c r="U450" i="5"/>
  <c r="V49" i="5"/>
  <c r="AL87" i="5"/>
  <c r="U43" i="5"/>
  <c r="U149" i="5"/>
  <c r="V207" i="5"/>
  <c r="U187" i="5"/>
  <c r="U51" i="5"/>
  <c r="U175" i="5"/>
  <c r="U240" i="5"/>
  <c r="U434" i="5"/>
  <c r="V248" i="5"/>
  <c r="V121" i="5"/>
  <c r="V137" i="5"/>
  <c r="U560" i="5"/>
  <c r="V525" i="5"/>
  <c r="U178" i="5"/>
  <c r="U247" i="5"/>
  <c r="V555" i="5"/>
  <c r="U32" i="5"/>
  <c r="V421" i="5"/>
  <c r="U491" i="5"/>
  <c r="V488" i="5"/>
  <c r="U442" i="5"/>
  <c r="V210" i="5"/>
  <c r="U396" i="5"/>
  <c r="U256" i="5"/>
  <c r="V214" i="5"/>
  <c r="AK174" i="5"/>
  <c r="U159" i="5"/>
  <c r="U174" i="5"/>
  <c r="U343" i="5"/>
  <c r="U335" i="5"/>
  <c r="V399" i="5"/>
  <c r="V471" i="5"/>
  <c r="V363" i="5"/>
  <c r="V218" i="5"/>
  <c r="V468" i="5"/>
  <c r="V414" i="5"/>
  <c r="U522" i="5"/>
  <c r="U122" i="5"/>
  <c r="U374" i="5"/>
  <c r="V278" i="5"/>
  <c r="V333" i="5"/>
  <c r="V480" i="5"/>
  <c r="V190" i="5"/>
  <c r="V84" i="5"/>
  <c r="V385" i="5"/>
  <c r="U183" i="5"/>
  <c r="AL105" i="5"/>
  <c r="U125" i="5"/>
  <c r="V25" i="5"/>
  <c r="V460" i="5"/>
  <c r="U52" i="5"/>
  <c r="V353" i="5"/>
  <c r="V455" i="5"/>
  <c r="U66" i="5"/>
  <c r="V397" i="5"/>
  <c r="AL44" i="5"/>
  <c r="V35" i="5"/>
  <c r="V504" i="5"/>
  <c r="U7" i="5"/>
  <c r="U548" i="5"/>
  <c r="U458" i="5"/>
  <c r="V485" i="5"/>
  <c r="V260" i="5"/>
  <c r="U31" i="5"/>
  <c r="V330" i="5"/>
  <c r="V359" i="5"/>
  <c r="AL172" i="5"/>
  <c r="V409" i="5"/>
  <c r="V312" i="5"/>
  <c r="U331" i="5"/>
  <c r="V189" i="5"/>
  <c r="U225" i="5"/>
  <c r="V320" i="5"/>
  <c r="AK43" i="5"/>
  <c r="V162" i="5"/>
  <c r="AL77" i="5"/>
  <c r="V108" i="5"/>
  <c r="V134" i="5"/>
  <c r="U134" i="5"/>
  <c r="V492" i="5"/>
  <c r="U274" i="5"/>
  <c r="V527" i="5"/>
  <c r="V83" i="5"/>
  <c r="U234" i="5"/>
  <c r="U512" i="5"/>
  <c r="U239" i="5"/>
  <c r="V236" i="5"/>
  <c r="V505" i="5"/>
  <c r="V88" i="5"/>
  <c r="V294" i="5"/>
  <c r="U303" i="5"/>
  <c r="U296" i="5"/>
  <c r="V465" i="5"/>
  <c r="U38" i="5"/>
  <c r="V466" i="5"/>
  <c r="U542" i="5"/>
  <c r="V36" i="5"/>
  <c r="V22" i="5"/>
  <c r="U291" i="5"/>
  <c r="U79" i="5"/>
  <c r="U176" i="5"/>
  <c r="U151" i="5"/>
  <c r="V263" i="5"/>
  <c r="V528" i="5"/>
  <c r="AV311" i="5"/>
  <c r="AV198" i="5"/>
  <c r="BA173" i="5"/>
  <c r="BB247" i="5"/>
  <c r="BA107" i="5"/>
  <c r="BB324" i="5"/>
  <c r="BA22" i="5"/>
  <c r="BA119" i="5"/>
  <c r="BA125" i="5"/>
  <c r="AV210" i="5"/>
  <c r="AU24" i="5"/>
  <c r="BA35" i="5"/>
  <c r="BB161" i="5"/>
  <c r="BB135" i="5"/>
  <c r="BA148" i="5"/>
  <c r="BB137" i="5"/>
  <c r="BA50" i="5"/>
  <c r="BA296" i="5"/>
  <c r="BA249" i="5"/>
  <c r="AU87" i="5"/>
  <c r="AV62" i="5"/>
  <c r="AU64" i="5"/>
  <c r="AV55" i="5"/>
  <c r="AV118" i="5"/>
  <c r="AU65" i="5"/>
  <c r="AV141" i="5"/>
  <c r="AU42" i="5"/>
  <c r="AU8" i="5"/>
  <c r="AU189" i="5"/>
  <c r="BA285" i="5"/>
  <c r="BA94" i="5"/>
  <c r="AV250" i="5"/>
  <c r="BA206" i="5"/>
  <c r="BB175" i="5"/>
  <c r="BA373" i="5"/>
  <c r="BB303" i="5"/>
  <c r="BB323" i="5"/>
  <c r="BB218" i="5"/>
  <c r="BA180" i="5"/>
  <c r="BA274" i="5"/>
  <c r="U515" i="5"/>
  <c r="U98" i="5"/>
  <c r="U40" i="5"/>
  <c r="AL27" i="5"/>
  <c r="U301" i="5"/>
  <c r="AK121" i="5"/>
  <c r="V242" i="5"/>
  <c r="BA89" i="5"/>
  <c r="AU135" i="5"/>
  <c r="AV21" i="5"/>
  <c r="AV89" i="5"/>
  <c r="AV291" i="5"/>
  <c r="AV31" i="5"/>
  <c r="AV34" i="5"/>
  <c r="AU221" i="5"/>
  <c r="AU115" i="5"/>
  <c r="AU93" i="5"/>
  <c r="AU133" i="5"/>
  <c r="AV77" i="5"/>
  <c r="AV142" i="5"/>
  <c r="AU122" i="5"/>
  <c r="AU191" i="5"/>
  <c r="AV130" i="5"/>
  <c r="AV282" i="5"/>
  <c r="AU47" i="5"/>
  <c r="AU270" i="5"/>
  <c r="AU295" i="5"/>
  <c r="AV233" i="5"/>
  <c r="AU182" i="5"/>
  <c r="AV276" i="5"/>
  <c r="AU175" i="5"/>
  <c r="AV199" i="5"/>
  <c r="AU150" i="5"/>
  <c r="BB264" i="5"/>
  <c r="AU211" i="5"/>
  <c r="BB337" i="5"/>
  <c r="BB230" i="5"/>
  <c r="AU257" i="5"/>
  <c r="BB312" i="5"/>
  <c r="BA130" i="5"/>
  <c r="AV181" i="5"/>
  <c r="BA44" i="5"/>
  <c r="BB55" i="5"/>
  <c r="BB131" i="5"/>
  <c r="BA144" i="5"/>
  <c r="BB108" i="5"/>
  <c r="BB136" i="5"/>
  <c r="BB150" i="5"/>
  <c r="BB326" i="5"/>
  <c r="BB158" i="5"/>
  <c r="BA156" i="5"/>
  <c r="AT12" i="5"/>
  <c r="AV12" i="5" s="1"/>
  <c r="BB332" i="5"/>
  <c r="AW12" i="5"/>
  <c r="AX12" i="5" s="1"/>
  <c r="BB369" i="5"/>
  <c r="BB118" i="5"/>
  <c r="T12" i="5"/>
  <c r="U12" i="5" s="1"/>
  <c r="AJ12" i="5"/>
  <c r="AK12" i="5" s="1"/>
  <c r="BA7" i="5"/>
  <c r="U518" i="5"/>
  <c r="V511" i="5"/>
  <c r="U509" i="5"/>
  <c r="V509" i="5"/>
  <c r="V382" i="5"/>
  <c r="V451" i="5"/>
  <c r="U451" i="5"/>
  <c r="V130" i="5"/>
  <c r="U514" i="5"/>
  <c r="U91" i="5"/>
  <c r="V91" i="5"/>
  <c r="V118" i="5"/>
  <c r="V459" i="5"/>
  <c r="V89" i="5"/>
  <c r="U89" i="5"/>
  <c r="V394" i="5"/>
  <c r="V537" i="5"/>
  <c r="V554" i="5"/>
  <c r="U308" i="5"/>
  <c r="V462" i="5"/>
  <c r="U50" i="5"/>
  <c r="V417" i="5"/>
  <c r="U417" i="5"/>
  <c r="V349" i="5"/>
  <c r="V402" i="5"/>
  <c r="V82" i="5"/>
  <c r="AU251" i="5"/>
  <c r="BB31" i="5"/>
  <c r="BA45" i="5"/>
  <c r="AV126" i="5"/>
  <c r="BB92" i="5"/>
  <c r="AU280" i="5"/>
  <c r="BA38" i="5"/>
  <c r="AU177" i="5"/>
  <c r="AV190" i="5"/>
  <c r="BA315" i="5"/>
  <c r="BB305" i="5"/>
  <c r="BB172" i="5"/>
  <c r="BB103" i="5"/>
  <c r="BA238" i="5"/>
  <c r="BB237" i="5"/>
  <c r="BA152" i="5"/>
  <c r="BA51" i="5"/>
  <c r="BB299" i="5"/>
  <c r="BB53" i="5"/>
  <c r="BA75" i="5"/>
  <c r="AU7" i="5"/>
  <c r="AL7" i="5"/>
  <c r="AU301" i="5"/>
  <c r="AV243" i="5"/>
  <c r="AV52" i="5"/>
  <c r="AU159" i="5"/>
  <c r="AU239" i="5"/>
  <c r="AV218" i="5"/>
  <c r="AV297" i="5"/>
  <c r="AV271" i="5"/>
  <c r="AV136" i="5"/>
  <c r="AU283" i="5"/>
  <c r="AU109" i="5"/>
  <c r="AV259" i="5"/>
  <c r="AU163" i="5"/>
  <c r="AV44" i="5"/>
  <c r="AV129" i="5"/>
  <c r="AV335" i="5"/>
  <c r="AU328" i="5"/>
  <c r="AV215" i="5"/>
  <c r="AU84" i="5"/>
  <c r="AU224" i="5"/>
  <c r="AU30" i="5"/>
  <c r="AU183" i="5"/>
  <c r="AV128" i="5"/>
  <c r="AU25" i="5"/>
  <c r="AU230" i="5"/>
  <c r="AV157" i="5"/>
  <c r="AV248" i="5"/>
  <c r="AV209" i="5"/>
  <c r="AU28" i="5"/>
  <c r="AV237" i="5"/>
  <c r="AV217" i="5"/>
  <c r="AV78" i="5"/>
  <c r="AU200" i="5"/>
  <c r="AU255" i="5"/>
  <c r="AV164" i="5"/>
  <c r="AU172" i="5"/>
  <c r="AV195" i="5"/>
  <c r="AU38" i="5"/>
  <c r="AU154" i="5"/>
  <c r="AU240" i="5"/>
  <c r="BA132" i="5"/>
  <c r="BB169" i="5"/>
  <c r="AV156" i="5"/>
  <c r="AU165" i="5"/>
  <c r="AV234" i="5"/>
  <c r="BA227" i="5"/>
  <c r="AU238" i="5"/>
  <c r="AV265" i="5"/>
  <c r="AU316" i="5"/>
  <c r="AU111" i="5"/>
  <c r="AV229" i="5"/>
  <c r="AU37" i="5"/>
  <c r="AV61" i="5"/>
  <c r="AU61" i="5"/>
  <c r="AU75" i="5"/>
  <c r="AV139" i="5"/>
  <c r="AU32" i="5"/>
  <c r="AV205" i="5"/>
  <c r="AV322" i="5"/>
  <c r="AU314" i="5"/>
  <c r="AV36" i="5"/>
  <c r="BB177" i="5"/>
  <c r="BB52" i="5"/>
  <c r="BB32" i="5"/>
  <c r="BB39" i="5"/>
  <c r="BA243" i="5"/>
  <c r="BB331" i="5"/>
  <c r="BA40" i="5"/>
  <c r="BB287" i="5"/>
  <c r="BA268" i="5"/>
  <c r="BA226" i="5"/>
  <c r="BA212" i="5"/>
  <c r="BA329" i="5"/>
  <c r="BA263" i="5"/>
  <c r="BB322" i="5"/>
  <c r="BA174" i="5"/>
  <c r="BB29" i="5"/>
  <c r="BA23" i="5"/>
  <c r="BB69" i="5"/>
  <c r="BB30" i="5"/>
  <c r="BB8" i="5"/>
  <c r="AL184" i="5"/>
  <c r="AK164" i="5"/>
  <c r="AK143" i="5"/>
  <c r="AK24" i="5"/>
  <c r="B144" i="2"/>
  <c r="H58" i="1" s="1"/>
  <c r="AV33" i="5"/>
  <c r="AU33" i="5"/>
  <c r="AV49" i="5"/>
  <c r="AU49" i="5"/>
  <c r="AU560" i="5"/>
  <c r="AV560" i="5"/>
  <c r="AV475" i="5"/>
  <c r="AU475" i="5"/>
  <c r="AV431" i="5"/>
  <c r="AU431" i="5"/>
  <c r="AV119" i="5"/>
  <c r="AU119" i="5"/>
  <c r="AV455" i="5"/>
  <c r="AU455" i="5"/>
  <c r="AU19" i="5"/>
  <c r="AV19" i="5"/>
  <c r="AV546" i="5"/>
  <c r="AU546" i="5"/>
  <c r="AV266" i="5"/>
  <c r="AU266" i="5"/>
  <c r="AU552" i="5"/>
  <c r="AV552" i="5"/>
  <c r="AU256" i="5"/>
  <c r="AV256" i="5"/>
  <c r="AV389" i="5"/>
  <c r="AU389" i="5"/>
  <c r="AU35" i="5"/>
  <c r="AV35" i="5"/>
  <c r="AV482" i="5"/>
  <c r="AU482" i="5"/>
  <c r="AU354" i="5"/>
  <c r="AV354" i="5"/>
  <c r="AV521" i="5"/>
  <c r="AU521" i="5"/>
  <c r="AU454" i="5"/>
  <c r="AV454" i="5"/>
  <c r="AU545" i="5"/>
  <c r="AV545" i="5"/>
  <c r="AV528" i="5"/>
  <c r="AU528" i="5"/>
  <c r="AV498" i="5"/>
  <c r="AU498" i="5"/>
  <c r="AV464" i="5"/>
  <c r="AU464" i="5"/>
  <c r="AU414" i="5"/>
  <c r="AV414" i="5"/>
  <c r="AV374" i="5"/>
  <c r="AU374" i="5"/>
  <c r="AV236" i="5"/>
  <c r="AU236" i="5"/>
  <c r="AV108" i="5"/>
  <c r="AU108" i="5"/>
  <c r="AV446" i="5"/>
  <c r="AU446" i="5"/>
  <c r="AU413" i="5"/>
  <c r="AV413" i="5"/>
  <c r="AU484" i="5"/>
  <c r="AV484" i="5"/>
  <c r="AU463" i="5"/>
  <c r="AV463" i="5"/>
  <c r="AU457" i="5"/>
  <c r="AV457" i="5"/>
  <c r="AU422" i="5"/>
  <c r="AV422" i="5"/>
  <c r="AV409" i="5"/>
  <c r="AU409" i="5"/>
  <c r="AV323" i="5"/>
  <c r="AU323" i="5"/>
  <c r="AV206" i="5"/>
  <c r="AU206" i="5"/>
  <c r="AU68" i="5"/>
  <c r="AV68" i="5"/>
  <c r="AU537" i="5"/>
  <c r="AV537" i="5"/>
  <c r="AU358" i="5"/>
  <c r="AV358" i="5"/>
  <c r="AV554" i="5"/>
  <c r="AU554" i="5"/>
  <c r="AV549" i="5"/>
  <c r="AU549" i="5"/>
  <c r="AV517" i="5"/>
  <c r="AU517" i="5"/>
  <c r="AV481" i="5"/>
  <c r="AU481" i="5"/>
  <c r="AU298" i="5"/>
  <c r="AV298" i="5"/>
  <c r="AV292" i="5"/>
  <c r="AU292" i="5"/>
  <c r="AV171" i="5"/>
  <c r="AU171" i="5"/>
  <c r="AU509" i="5"/>
  <c r="AV509" i="5"/>
  <c r="AV550" i="5"/>
  <c r="AU550" i="5"/>
  <c r="AU478" i="5"/>
  <c r="AV478" i="5"/>
  <c r="AU272" i="5"/>
  <c r="AV272" i="5"/>
  <c r="AU456" i="5"/>
  <c r="AV456" i="5"/>
  <c r="AU518" i="5"/>
  <c r="AV518" i="5"/>
  <c r="AU445" i="5"/>
  <c r="AV445" i="5"/>
  <c r="AV168" i="5"/>
  <c r="AU168" i="5"/>
  <c r="AU352" i="5"/>
  <c r="AV352" i="5"/>
  <c r="AV376" i="5"/>
  <c r="AU376" i="5"/>
  <c r="AU180" i="5"/>
  <c r="AV180" i="5"/>
  <c r="AV388" i="5"/>
  <c r="AU388" i="5"/>
  <c r="AU349" i="5"/>
  <c r="AV349" i="5"/>
  <c r="AU269" i="5"/>
  <c r="AV269" i="5"/>
  <c r="AU258" i="5"/>
  <c r="AV258" i="5"/>
  <c r="AU252" i="5"/>
  <c r="AV252" i="5"/>
  <c r="AV192" i="5"/>
  <c r="AU192" i="5"/>
  <c r="AV140" i="5"/>
  <c r="AU140" i="5"/>
  <c r="AU116" i="5"/>
  <c r="AV116" i="5"/>
  <c r="AU127" i="5"/>
  <c r="AV127" i="5"/>
  <c r="AU72" i="5"/>
  <c r="AV72" i="5"/>
  <c r="AV384" i="5"/>
  <c r="AU384" i="5"/>
  <c r="AU488" i="5"/>
  <c r="AV488" i="5"/>
  <c r="AV350" i="5"/>
  <c r="AU350" i="5"/>
  <c r="AV383" i="5"/>
  <c r="AU383" i="5"/>
  <c r="AV405" i="5"/>
  <c r="AU405" i="5"/>
  <c r="AV326" i="5"/>
  <c r="AU326" i="5"/>
  <c r="AV406" i="5"/>
  <c r="AU406" i="5"/>
  <c r="AU290" i="5"/>
  <c r="AV290" i="5"/>
  <c r="AV313" i="5"/>
  <c r="AU313" i="5"/>
  <c r="AV308" i="5"/>
  <c r="AU308" i="5"/>
  <c r="AU293" i="5"/>
  <c r="AV293" i="5"/>
  <c r="AU188" i="5"/>
  <c r="AV188" i="5"/>
  <c r="AV197" i="5"/>
  <c r="AU197" i="5"/>
  <c r="AV179" i="5"/>
  <c r="AU179" i="5"/>
  <c r="AV151" i="5"/>
  <c r="AU151" i="5"/>
  <c r="AV98" i="5"/>
  <c r="AU98" i="5"/>
  <c r="AU60" i="5"/>
  <c r="AV60" i="5"/>
  <c r="AU380" i="5"/>
  <c r="AV380" i="5"/>
  <c r="AV507" i="5"/>
  <c r="AU507" i="5"/>
  <c r="AV439" i="5"/>
  <c r="AU439" i="5"/>
  <c r="AU483" i="5"/>
  <c r="AV483" i="5"/>
  <c r="AV370" i="5"/>
  <c r="AU370" i="5"/>
  <c r="AU487" i="5"/>
  <c r="AV487" i="5"/>
  <c r="AV346" i="5"/>
  <c r="AU346" i="5"/>
  <c r="AU375" i="5"/>
  <c r="AV375" i="5"/>
  <c r="AV396" i="5"/>
  <c r="AU396" i="5"/>
  <c r="AV321" i="5"/>
  <c r="AU321" i="5"/>
  <c r="AV403" i="5"/>
  <c r="AU403" i="5"/>
  <c r="AU284" i="5"/>
  <c r="AV284" i="5"/>
  <c r="AV303" i="5"/>
  <c r="AU303" i="5"/>
  <c r="AU304" i="5"/>
  <c r="AV304" i="5"/>
  <c r="AV287" i="5"/>
  <c r="AU287" i="5"/>
  <c r="AV166" i="5"/>
  <c r="AU166" i="5"/>
  <c r="AU194" i="5"/>
  <c r="AV194" i="5"/>
  <c r="AV178" i="5"/>
  <c r="AU178" i="5"/>
  <c r="AV148" i="5"/>
  <c r="AU148" i="5"/>
  <c r="AV97" i="5"/>
  <c r="AU97" i="5"/>
  <c r="AU57" i="5"/>
  <c r="AV57" i="5"/>
  <c r="AV155" i="5"/>
  <c r="AU155" i="5"/>
  <c r="AU226" i="5"/>
  <c r="AV226" i="5"/>
  <c r="AU132" i="5"/>
  <c r="AV132" i="5"/>
  <c r="AV519" i="5"/>
  <c r="AU519" i="5"/>
  <c r="AU544" i="5"/>
  <c r="AV544" i="5"/>
  <c r="AV536" i="5"/>
  <c r="AU536" i="5"/>
  <c r="AV531" i="5"/>
  <c r="AU531" i="5"/>
  <c r="AV433" i="5"/>
  <c r="AU433" i="5"/>
  <c r="AU137" i="5"/>
  <c r="AV137" i="5"/>
  <c r="AU432" i="5"/>
  <c r="AV432" i="5"/>
  <c r="AV520" i="5"/>
  <c r="AU520" i="5"/>
  <c r="AU458" i="5"/>
  <c r="AV458" i="5"/>
  <c r="AU330" i="5"/>
  <c r="AV330" i="5"/>
  <c r="AU107" i="5"/>
  <c r="AV107" i="5"/>
  <c r="AV395" i="5"/>
  <c r="AU395" i="5"/>
  <c r="AV392" i="5"/>
  <c r="AU392" i="5"/>
  <c r="AU357" i="5"/>
  <c r="AV357" i="5"/>
  <c r="AV300" i="5"/>
  <c r="AU300" i="5"/>
  <c r="AU50" i="5"/>
  <c r="AV50" i="5"/>
  <c r="AV504" i="5"/>
  <c r="AU504" i="5"/>
  <c r="AV472" i="5"/>
  <c r="AU472" i="5"/>
  <c r="AV469" i="5"/>
  <c r="AU469" i="5"/>
  <c r="AV369" i="5"/>
  <c r="AU369" i="5"/>
  <c r="AV268" i="5"/>
  <c r="AU268" i="5"/>
  <c r="AU174" i="5"/>
  <c r="AV174" i="5"/>
  <c r="AU289" i="5"/>
  <c r="AV289" i="5"/>
  <c r="AU232" i="5"/>
  <c r="AV232" i="5"/>
  <c r="AV158" i="5"/>
  <c r="AU158" i="5"/>
  <c r="AV94" i="5"/>
  <c r="AU94" i="5"/>
  <c r="AU499" i="5"/>
  <c r="AV499" i="5"/>
  <c r="AV404" i="5"/>
  <c r="AU404" i="5"/>
  <c r="AV355" i="5"/>
  <c r="AU355" i="5"/>
  <c r="AV364" i="5"/>
  <c r="AU364" i="5"/>
  <c r="AU196" i="5"/>
  <c r="AV196" i="5"/>
  <c r="AV225" i="5"/>
  <c r="AU225" i="5"/>
  <c r="AU161" i="5"/>
  <c r="AV161" i="5"/>
  <c r="AV85" i="5"/>
  <c r="AU85" i="5"/>
  <c r="AU473" i="5"/>
  <c r="AV473" i="5"/>
  <c r="AU459" i="5"/>
  <c r="AV459" i="5"/>
  <c r="AU425" i="5"/>
  <c r="AV425" i="5"/>
  <c r="AV412" i="5"/>
  <c r="AU412" i="5"/>
  <c r="AV410" i="5"/>
  <c r="AU410" i="5"/>
  <c r="AV421" i="5"/>
  <c r="AU421" i="5"/>
  <c r="AV117" i="5"/>
  <c r="AU117" i="5"/>
  <c r="AV315" i="5"/>
  <c r="AU315" i="5"/>
  <c r="AU193" i="5"/>
  <c r="AV193" i="5"/>
  <c r="AU82" i="5"/>
  <c r="AV82" i="5"/>
  <c r="AV423" i="5"/>
  <c r="AU423" i="5"/>
  <c r="AV529" i="5"/>
  <c r="AU529" i="5"/>
  <c r="AU515" i="5"/>
  <c r="AV515" i="5"/>
  <c r="AV123" i="5"/>
  <c r="AU123" i="5"/>
  <c r="AV535" i="5"/>
  <c r="AU535" i="5"/>
  <c r="AU394" i="5"/>
  <c r="AV394" i="5"/>
  <c r="AV204" i="5"/>
  <c r="AU204" i="5"/>
  <c r="AV470" i="5"/>
  <c r="AU470" i="5"/>
  <c r="AU471" i="5"/>
  <c r="AV471" i="5"/>
  <c r="AV207" i="5"/>
  <c r="AU207" i="5"/>
  <c r="AU449" i="5"/>
  <c r="AV449" i="5"/>
  <c r="AV426" i="5"/>
  <c r="AU426" i="5"/>
  <c r="AV495" i="5"/>
  <c r="AU495" i="5"/>
  <c r="AV476" i="5"/>
  <c r="AU476" i="5"/>
  <c r="AV462" i="5"/>
  <c r="AU462" i="5"/>
  <c r="AV434" i="5"/>
  <c r="AU434" i="5"/>
  <c r="AV339" i="5"/>
  <c r="AU339" i="5"/>
  <c r="AV343" i="5"/>
  <c r="AU343" i="5"/>
  <c r="AV227" i="5"/>
  <c r="AU227" i="5"/>
  <c r="AU80" i="5"/>
  <c r="AV80" i="5"/>
  <c r="AU556" i="5"/>
  <c r="AV556" i="5"/>
  <c r="AU365" i="5"/>
  <c r="AV365" i="5"/>
  <c r="AV441" i="5"/>
  <c r="AU441" i="5"/>
  <c r="AU551" i="5"/>
  <c r="AV551" i="5"/>
  <c r="AV302" i="5"/>
  <c r="AU302" i="5"/>
  <c r="AU493" i="5"/>
  <c r="AV493" i="5"/>
  <c r="AU333" i="5"/>
  <c r="AV333" i="5"/>
  <c r="AU325" i="5"/>
  <c r="AV325" i="5"/>
  <c r="AU125" i="5"/>
  <c r="AV125" i="5"/>
  <c r="AU534" i="5"/>
  <c r="AV534" i="5"/>
  <c r="AU467" i="5"/>
  <c r="AV467" i="5"/>
  <c r="AV555" i="5"/>
  <c r="AU555" i="5"/>
  <c r="AV539" i="5"/>
  <c r="AU539" i="5"/>
  <c r="AV512" i="5"/>
  <c r="AU512" i="5"/>
  <c r="AV485" i="5"/>
  <c r="AU485" i="5"/>
  <c r="AU344" i="5"/>
  <c r="AV344" i="5"/>
  <c r="AU401" i="5"/>
  <c r="AV401" i="5"/>
  <c r="AV277" i="5"/>
  <c r="AU277" i="5"/>
  <c r="AU124" i="5"/>
  <c r="AV124" i="5"/>
  <c r="AV479" i="5"/>
  <c r="AU479" i="5"/>
  <c r="AU543" i="5"/>
  <c r="AV543" i="5"/>
  <c r="AV468" i="5"/>
  <c r="AU468" i="5"/>
  <c r="AV501" i="5"/>
  <c r="AU501" i="5"/>
  <c r="AV435" i="5"/>
  <c r="AU435" i="5"/>
  <c r="AV502" i="5"/>
  <c r="AU502" i="5"/>
  <c r="AV427" i="5"/>
  <c r="AU427" i="5"/>
  <c r="AV411" i="5"/>
  <c r="AU411" i="5"/>
  <c r="AV317" i="5"/>
  <c r="AU317" i="5"/>
  <c r="AU362" i="5"/>
  <c r="AV362" i="5"/>
  <c r="AV429" i="5"/>
  <c r="AU429" i="5"/>
  <c r="AV366" i="5"/>
  <c r="AU366" i="5"/>
  <c r="AV342" i="5"/>
  <c r="AU342" i="5"/>
  <c r="AU244" i="5"/>
  <c r="AV244" i="5"/>
  <c r="AV332" i="5"/>
  <c r="AU332" i="5"/>
  <c r="AU235" i="5"/>
  <c r="AV235" i="5"/>
  <c r="AV223" i="5"/>
  <c r="AU223" i="5"/>
  <c r="AU169" i="5"/>
  <c r="AV169" i="5"/>
  <c r="AV134" i="5"/>
  <c r="AU134" i="5"/>
  <c r="AV101" i="5"/>
  <c r="AU101" i="5"/>
  <c r="AV26" i="5"/>
  <c r="AU26" i="5"/>
  <c r="AV294" i="5"/>
  <c r="AU294" i="5"/>
  <c r="AV466" i="5"/>
  <c r="AU466" i="5"/>
  <c r="AU305" i="5"/>
  <c r="AV305" i="5"/>
  <c r="AV361" i="5"/>
  <c r="AU361" i="5"/>
  <c r="AV387" i="5"/>
  <c r="AU387" i="5"/>
  <c r="AU267" i="5"/>
  <c r="AV267" i="5"/>
  <c r="AV398" i="5"/>
  <c r="AU398" i="5"/>
  <c r="AV359" i="5"/>
  <c r="AU359" i="5"/>
  <c r="AU288" i="5"/>
  <c r="AV288" i="5"/>
  <c r="AU279" i="5"/>
  <c r="AV279" i="5"/>
  <c r="AU263" i="5"/>
  <c r="AV263" i="5"/>
  <c r="AU220" i="5"/>
  <c r="AV220" i="5"/>
  <c r="AU167" i="5"/>
  <c r="AV167" i="5"/>
  <c r="AV147" i="5"/>
  <c r="AU147" i="5"/>
  <c r="AV145" i="5"/>
  <c r="AU145" i="5"/>
  <c r="AU86" i="5"/>
  <c r="AV86" i="5"/>
  <c r="AU40" i="5"/>
  <c r="AV40" i="5"/>
  <c r="AV553" i="5"/>
  <c r="AU553" i="5"/>
  <c r="AV486" i="5"/>
  <c r="AU486" i="5"/>
  <c r="AV337" i="5"/>
  <c r="AU337" i="5"/>
  <c r="AV460" i="5"/>
  <c r="AU460" i="5"/>
  <c r="AU530" i="5"/>
  <c r="AV530" i="5"/>
  <c r="AU451" i="5"/>
  <c r="AV451" i="5"/>
  <c r="AV275" i="5"/>
  <c r="AU275" i="5"/>
  <c r="AU360" i="5"/>
  <c r="AV360" i="5"/>
  <c r="AU386" i="5"/>
  <c r="AV386" i="5"/>
  <c r="AV262" i="5"/>
  <c r="AU262" i="5"/>
  <c r="AU397" i="5"/>
  <c r="AV397" i="5"/>
  <c r="AU356" i="5"/>
  <c r="AV356" i="5"/>
  <c r="AV285" i="5"/>
  <c r="AU285" i="5"/>
  <c r="AV278" i="5"/>
  <c r="AU278" i="5"/>
  <c r="AU260" i="5"/>
  <c r="AV260" i="5"/>
  <c r="AV216" i="5"/>
  <c r="AU216" i="5"/>
  <c r="AU162" i="5"/>
  <c r="AV162" i="5"/>
  <c r="AU144" i="5"/>
  <c r="AV144" i="5"/>
  <c r="AV143" i="5"/>
  <c r="AU143" i="5"/>
  <c r="AU81" i="5"/>
  <c r="AV81" i="5"/>
  <c r="AU45" i="5"/>
  <c r="AV45" i="5"/>
  <c r="AV547" i="5"/>
  <c r="AU547" i="5"/>
  <c r="AV461" i="5"/>
  <c r="AU461" i="5"/>
  <c r="AU281" i="5"/>
  <c r="AV281" i="5"/>
  <c r="AU353" i="5"/>
  <c r="AV353" i="5"/>
  <c r="AV523" i="5"/>
  <c r="AU523" i="5"/>
  <c r="AV542" i="5"/>
  <c r="AU542" i="5"/>
  <c r="AV497" i="5"/>
  <c r="AU497" i="5"/>
  <c r="AU203" i="5"/>
  <c r="AV203" i="5"/>
  <c r="AU503" i="5"/>
  <c r="AV503" i="5"/>
  <c r="AU533" i="5"/>
  <c r="AV533" i="5"/>
  <c r="AV480" i="5"/>
  <c r="AU480" i="5"/>
  <c r="AU390" i="5"/>
  <c r="AV390" i="5"/>
  <c r="AU213" i="5"/>
  <c r="AV213" i="5"/>
  <c r="AV440" i="5"/>
  <c r="AU440" i="5"/>
  <c r="AV465" i="5"/>
  <c r="AU465" i="5"/>
  <c r="AU452" i="5"/>
  <c r="AV452" i="5"/>
  <c r="AV393" i="5"/>
  <c r="AU393" i="5"/>
  <c r="AU186" i="5"/>
  <c r="AV186" i="5"/>
  <c r="AV559" i="5"/>
  <c r="AU559" i="5"/>
  <c r="AU399" i="5"/>
  <c r="AV399" i="5"/>
  <c r="AV331" i="5"/>
  <c r="AU331" i="5"/>
  <c r="AU334" i="5"/>
  <c r="AV334" i="5"/>
  <c r="AU391" i="5"/>
  <c r="AV391" i="5"/>
  <c r="AV400" i="5"/>
  <c r="AU400" i="5"/>
  <c r="AV296" i="5"/>
  <c r="AU296" i="5"/>
  <c r="AU274" i="5"/>
  <c r="AV274" i="5"/>
  <c r="AV185" i="5"/>
  <c r="AU185" i="5"/>
  <c r="AV104" i="5"/>
  <c r="AU104" i="5"/>
  <c r="AU48" i="5"/>
  <c r="AV48" i="5"/>
  <c r="AV419" i="5"/>
  <c r="AU419" i="5"/>
  <c r="AU202" i="5"/>
  <c r="AV202" i="5"/>
  <c r="AV424" i="5"/>
  <c r="AU424" i="5"/>
  <c r="AV338" i="5"/>
  <c r="AU338" i="5"/>
  <c r="AV320" i="5"/>
  <c r="AU320" i="5"/>
  <c r="AU208" i="5"/>
  <c r="AV208" i="5"/>
  <c r="AV120" i="5"/>
  <c r="AU120" i="5"/>
  <c r="AV59" i="5"/>
  <c r="AU59" i="5"/>
  <c r="AV525" i="5"/>
  <c r="AU525" i="5"/>
  <c r="AV496" i="5"/>
  <c r="AU496" i="5"/>
  <c r="AV494" i="5"/>
  <c r="AU494" i="5"/>
  <c r="AV402" i="5"/>
  <c r="AU402" i="5"/>
  <c r="AV340" i="5"/>
  <c r="AU340" i="5"/>
  <c r="AV341" i="5"/>
  <c r="AU341" i="5"/>
  <c r="AV336" i="5"/>
  <c r="AU336" i="5"/>
  <c r="AU222" i="5"/>
  <c r="AV222" i="5"/>
  <c r="AU149" i="5"/>
  <c r="AV149" i="5"/>
  <c r="AV58" i="5"/>
  <c r="AU58" i="5"/>
  <c r="AU381" i="5"/>
  <c r="AV381" i="5"/>
  <c r="AV540" i="5"/>
  <c r="AU540" i="5"/>
  <c r="AV450" i="5"/>
  <c r="AU450" i="5"/>
  <c r="AV527" i="5"/>
  <c r="AU527" i="5"/>
  <c r="AV505" i="5"/>
  <c r="AU505" i="5"/>
  <c r="AV254" i="5"/>
  <c r="AU254" i="5"/>
  <c r="AV522" i="5"/>
  <c r="AU522" i="5"/>
  <c r="AV428" i="5"/>
  <c r="AU428" i="5"/>
  <c r="AV442" i="5"/>
  <c r="AU442" i="5"/>
  <c r="AV76" i="5"/>
  <c r="AU76" i="5"/>
  <c r="AU558" i="5"/>
  <c r="AV558" i="5"/>
  <c r="AU377" i="5"/>
  <c r="AV377" i="5"/>
  <c r="AV444" i="5"/>
  <c r="AU444" i="5"/>
  <c r="AU557" i="5"/>
  <c r="AV557" i="5"/>
  <c r="AV363" i="5"/>
  <c r="AU363" i="5"/>
  <c r="AU508" i="5"/>
  <c r="AV508" i="5"/>
  <c r="AV367" i="5"/>
  <c r="AU367" i="5"/>
  <c r="AV253" i="5"/>
  <c r="AU253" i="5"/>
  <c r="AU170" i="5"/>
  <c r="AV170" i="5"/>
  <c r="AU538" i="5"/>
  <c r="AV538" i="5"/>
  <c r="AU511" i="5"/>
  <c r="AV511" i="5"/>
  <c r="AV532" i="5"/>
  <c r="AU532" i="5"/>
  <c r="AU541" i="5"/>
  <c r="AV541" i="5"/>
  <c r="AV524" i="5"/>
  <c r="AU524" i="5"/>
  <c r="AV491" i="5"/>
  <c r="AU491" i="5"/>
  <c r="AU379" i="5"/>
  <c r="AV379" i="5"/>
  <c r="AU420" i="5"/>
  <c r="AV420" i="5"/>
  <c r="AU309" i="5"/>
  <c r="AV309" i="5"/>
  <c r="AV106" i="5"/>
  <c r="AU106" i="5"/>
  <c r="AU500" i="5"/>
  <c r="AV500" i="5"/>
  <c r="AV430" i="5"/>
  <c r="AU430" i="5"/>
  <c r="AU526" i="5"/>
  <c r="AV526" i="5"/>
  <c r="AU506" i="5"/>
  <c r="AV506" i="5"/>
  <c r="AV477" i="5"/>
  <c r="AU477" i="5"/>
  <c r="AV448" i="5"/>
  <c r="AU448" i="5"/>
  <c r="AV373" i="5"/>
  <c r="AU373" i="5"/>
  <c r="AV231" i="5"/>
  <c r="AU231" i="5"/>
  <c r="AU242" i="5"/>
  <c r="AV242" i="5"/>
  <c r="AU74" i="5"/>
  <c r="AV74" i="5"/>
  <c r="AU416" i="5"/>
  <c r="AV416" i="5"/>
  <c r="AU514" i="5"/>
  <c r="AV514" i="5"/>
  <c r="AU453" i="5"/>
  <c r="AV453" i="5"/>
  <c r="AU490" i="5"/>
  <c r="AV490" i="5"/>
  <c r="AU408" i="5"/>
  <c r="AV408" i="5"/>
  <c r="AU489" i="5"/>
  <c r="AV489" i="5"/>
  <c r="AU371" i="5"/>
  <c r="AV371" i="5"/>
  <c r="AU385" i="5"/>
  <c r="AV385" i="5"/>
  <c r="AU407" i="5"/>
  <c r="AV407" i="5"/>
  <c r="AV329" i="5"/>
  <c r="AU329" i="5"/>
  <c r="AV415" i="5"/>
  <c r="AU415" i="5"/>
  <c r="AV310" i="5"/>
  <c r="AU310" i="5"/>
  <c r="AU318" i="5"/>
  <c r="AV318" i="5"/>
  <c r="AV319" i="5"/>
  <c r="AU319" i="5"/>
  <c r="AU306" i="5"/>
  <c r="AV306" i="5"/>
  <c r="AU212" i="5"/>
  <c r="AV212" i="5"/>
  <c r="AV201" i="5"/>
  <c r="AU201" i="5"/>
  <c r="AV112" i="5"/>
  <c r="AU112" i="5"/>
  <c r="AU99" i="5"/>
  <c r="AV99" i="5"/>
  <c r="AV105" i="5"/>
  <c r="AU105" i="5"/>
  <c r="AU67" i="5"/>
  <c r="AV67" i="5"/>
  <c r="AV513" i="5"/>
  <c r="AU513" i="5"/>
  <c r="AV443" i="5"/>
  <c r="AU443" i="5"/>
  <c r="AV418" i="5"/>
  <c r="AU418" i="5"/>
  <c r="AV351" i="5"/>
  <c r="AU351" i="5"/>
  <c r="AV372" i="5"/>
  <c r="AU372" i="5"/>
  <c r="AV437" i="5"/>
  <c r="AU437" i="5"/>
  <c r="AV382" i="5"/>
  <c r="AU382" i="5"/>
  <c r="AV348" i="5"/>
  <c r="AU348" i="5"/>
  <c r="AV264" i="5"/>
  <c r="AU264" i="5"/>
  <c r="AU241" i="5"/>
  <c r="AV241" i="5"/>
  <c r="AV228" i="5"/>
  <c r="AU228" i="5"/>
  <c r="AU247" i="5"/>
  <c r="AV247" i="5"/>
  <c r="AV95" i="5"/>
  <c r="AU95" i="5"/>
  <c r="AU152" i="5"/>
  <c r="AV152" i="5"/>
  <c r="AU114" i="5"/>
  <c r="AV114" i="5"/>
  <c r="AU73" i="5"/>
  <c r="AV73" i="5"/>
  <c r="AU492" i="5"/>
  <c r="AV492" i="5"/>
  <c r="AV548" i="5"/>
  <c r="AU548" i="5"/>
  <c r="AV474" i="5"/>
  <c r="AU474" i="5"/>
  <c r="AV516" i="5"/>
  <c r="AU516" i="5"/>
  <c r="AV447" i="5"/>
  <c r="AU447" i="5"/>
  <c r="AV510" i="5"/>
  <c r="AU510" i="5"/>
  <c r="AV438" i="5"/>
  <c r="AU438" i="5"/>
  <c r="AV417" i="5"/>
  <c r="AU417" i="5"/>
  <c r="AV347" i="5"/>
  <c r="AU347" i="5"/>
  <c r="AU368" i="5"/>
  <c r="AV368" i="5"/>
  <c r="AV436" i="5"/>
  <c r="AU436" i="5"/>
  <c r="AV378" i="5"/>
  <c r="AU378" i="5"/>
  <c r="AV345" i="5"/>
  <c r="AU345" i="5"/>
  <c r="AV261" i="5"/>
  <c r="AU261" i="5"/>
  <c r="AV219" i="5"/>
  <c r="AU219" i="5"/>
  <c r="AV214" i="5"/>
  <c r="AU214" i="5"/>
  <c r="AU245" i="5"/>
  <c r="AV245" i="5"/>
  <c r="AU184" i="5"/>
  <c r="AV184" i="5"/>
  <c r="AU146" i="5"/>
  <c r="AV146" i="5"/>
  <c r="AU113" i="5"/>
  <c r="AV113" i="5"/>
  <c r="AU70" i="5"/>
  <c r="AV70" i="5"/>
  <c r="AU27" i="5"/>
  <c r="AV27" i="5"/>
  <c r="BA85" i="5"/>
  <c r="BB276" i="5"/>
  <c r="BA54" i="5"/>
  <c r="BA213" i="5"/>
  <c r="BB316" i="5"/>
  <c r="BB133" i="5"/>
  <c r="BB313" i="5"/>
  <c r="BB105" i="5"/>
  <c r="BA88" i="5"/>
  <c r="BB231" i="5"/>
  <c r="BA235" i="5"/>
  <c r="BB109" i="5"/>
  <c r="BB21" i="5"/>
  <c r="BB201" i="5"/>
  <c r="BA339" i="5"/>
  <c r="BB195" i="5"/>
  <c r="BB34" i="5"/>
  <c r="BB241" i="5"/>
  <c r="BB72" i="5"/>
  <c r="BA149" i="5"/>
  <c r="BB225" i="5"/>
  <c r="BB207" i="5"/>
  <c r="BB338" i="5"/>
  <c r="BA76" i="5"/>
  <c r="BB101" i="5"/>
  <c r="BA214" i="5"/>
  <c r="BA317" i="5"/>
  <c r="BA411" i="5"/>
  <c r="BA65" i="5"/>
  <c r="BB145" i="5"/>
  <c r="BB210" i="5"/>
  <c r="BB298" i="5"/>
  <c r="BA41" i="5"/>
  <c r="BA122" i="5"/>
  <c r="BB189" i="5"/>
  <c r="BB306" i="5"/>
  <c r="BB100" i="5"/>
  <c r="BA279" i="5"/>
  <c r="BB147" i="5"/>
  <c r="BA157" i="5"/>
  <c r="BA47" i="5"/>
  <c r="AK71" i="5"/>
  <c r="AL71" i="5"/>
  <c r="AL61" i="5"/>
  <c r="AK61" i="5"/>
  <c r="AK40" i="5"/>
  <c r="AL146" i="5"/>
  <c r="AK146" i="5"/>
  <c r="AK93" i="5"/>
  <c r="AL93" i="5"/>
  <c r="H57" i="1"/>
  <c r="B146" i="2"/>
  <c r="H61" i="1" s="1"/>
  <c r="B143" i="2"/>
  <c r="H59" i="1" s="1"/>
  <c r="AS31" i="5"/>
  <c r="BC31" i="5" s="1"/>
  <c r="AS466" i="5"/>
  <c r="BC466" i="5" s="1"/>
  <c r="AS417" i="5"/>
  <c r="BC417" i="5" s="1"/>
  <c r="AS422" i="5"/>
  <c r="BC422" i="5" s="1"/>
  <c r="AS497" i="5"/>
  <c r="AS449" i="5"/>
  <c r="AS405" i="5"/>
  <c r="AS492" i="5"/>
  <c r="AS264" i="5"/>
  <c r="AS26" i="5"/>
  <c r="BC26" i="5" s="1"/>
  <c r="AS12" i="5"/>
  <c r="AS287" i="5"/>
  <c r="BC287" i="5" s="1"/>
  <c r="BE287" i="5" s="1"/>
  <c r="AS339" i="5"/>
  <c r="BC339" i="5" s="1"/>
  <c r="AS446" i="5"/>
  <c r="BC446" i="5" s="1"/>
  <c r="AS91" i="5"/>
  <c r="BC91" i="5" s="1"/>
  <c r="AS161" i="5"/>
  <c r="BC161" i="5" s="1"/>
  <c r="AS484" i="5"/>
  <c r="BC484" i="5" s="1"/>
  <c r="AS310" i="5"/>
  <c r="BC310" i="5" s="1"/>
  <c r="AS50" i="5"/>
  <c r="BC50" i="5" s="1"/>
  <c r="AS435" i="5"/>
  <c r="BC435" i="5" s="1"/>
  <c r="AS210" i="5"/>
  <c r="BC210" i="5" s="1"/>
  <c r="BE210" i="5" s="1"/>
  <c r="AS71" i="5"/>
  <c r="BC71" i="5" s="1"/>
  <c r="BE71" i="5" s="1"/>
  <c r="AS177" i="5"/>
  <c r="BC177" i="5" s="1"/>
  <c r="AS540" i="5"/>
  <c r="BC540" i="5" s="1"/>
  <c r="AS511" i="5"/>
  <c r="BC511" i="5" s="1"/>
  <c r="AS444" i="5"/>
  <c r="BC444" i="5" s="1"/>
  <c r="AS548" i="5"/>
  <c r="AS319" i="5"/>
  <c r="BC319" i="5" s="1"/>
  <c r="AS455" i="5"/>
  <c r="AS128" i="5"/>
  <c r="AS528" i="5"/>
  <c r="BC528" i="5" s="1"/>
  <c r="AS434" i="5"/>
  <c r="BC434" i="5" s="1"/>
  <c r="AS205" i="5"/>
  <c r="BC205" i="5" s="1"/>
  <c r="AS538" i="5"/>
  <c r="BC538" i="5" s="1"/>
  <c r="AS452" i="5"/>
  <c r="BC452" i="5" s="1"/>
  <c r="AS265" i="5"/>
  <c r="BC265" i="5" s="1"/>
  <c r="AS64" i="5"/>
  <c r="BC64" i="5" s="1"/>
  <c r="BE64" i="5" s="1"/>
  <c r="AS114" i="5"/>
  <c r="BC114" i="5" s="1"/>
  <c r="BD114" i="5" s="1"/>
  <c r="AS11" i="5"/>
  <c r="AS514" i="5"/>
  <c r="BC514" i="5" s="1"/>
  <c r="AS382" i="5"/>
  <c r="BC382" i="5" s="1"/>
  <c r="AS373" i="5"/>
  <c r="BC373" i="5" s="1"/>
  <c r="AS500" i="5"/>
  <c r="BC500" i="5" s="1"/>
  <c r="AS258" i="5"/>
  <c r="BC258" i="5" s="1"/>
  <c r="AS426" i="5"/>
  <c r="BC426" i="5" s="1"/>
  <c r="AS54" i="5"/>
  <c r="BC54" i="5" s="1"/>
  <c r="AS429" i="5"/>
  <c r="AS439" i="5"/>
  <c r="BC439" i="5" s="1"/>
  <c r="AS208" i="5"/>
  <c r="BC208" i="5" s="1"/>
  <c r="AS240" i="5"/>
  <c r="BC240" i="5" s="1"/>
  <c r="AS550" i="5"/>
  <c r="BC550" i="5" s="1"/>
  <c r="AS506" i="5"/>
  <c r="BC506" i="5" s="1"/>
  <c r="AS496" i="5"/>
  <c r="BC496" i="5" s="1"/>
  <c r="AS350" i="5"/>
  <c r="BC350" i="5" s="1"/>
  <c r="AS159" i="5"/>
  <c r="BC159" i="5" s="1"/>
  <c r="AS33" i="5"/>
  <c r="BC33" i="5" s="1"/>
  <c r="AS164" i="5"/>
  <c r="BC164" i="5" s="1"/>
  <c r="BE164" i="5" s="1"/>
  <c r="AS292" i="5"/>
  <c r="BC292" i="5" s="1"/>
  <c r="AS252" i="5"/>
  <c r="BC252" i="5" s="1"/>
  <c r="AS418" i="5"/>
  <c r="BC418" i="5" s="1"/>
  <c r="AS43" i="5"/>
  <c r="BC43" i="5" s="1"/>
  <c r="BD43" i="5" s="1"/>
  <c r="AS120" i="5"/>
  <c r="BC120" i="5" s="1"/>
  <c r="AS219" i="5"/>
  <c r="BC219" i="5" s="1"/>
  <c r="BD219" i="5" s="1"/>
  <c r="AS290" i="5"/>
  <c r="BC290" i="5" s="1"/>
  <c r="AS315" i="5"/>
  <c r="BC315" i="5" s="1"/>
  <c r="BE315" i="5" s="1"/>
  <c r="AS442" i="5"/>
  <c r="BC442" i="5" s="1"/>
  <c r="AS156" i="5"/>
  <c r="BC156" i="5" s="1"/>
  <c r="AS21" i="5"/>
  <c r="AS154" i="5"/>
  <c r="BC154" i="5" s="1"/>
  <c r="AS505" i="5"/>
  <c r="BC505" i="5" s="1"/>
  <c r="AS197" i="5"/>
  <c r="BC197" i="5" s="1"/>
  <c r="AS524" i="5"/>
  <c r="BC524" i="5" s="1"/>
  <c r="AS390" i="5"/>
  <c r="BC390" i="5" s="1"/>
  <c r="AS359" i="5"/>
  <c r="BC359" i="5" s="1"/>
  <c r="AS101" i="5"/>
  <c r="BC101" i="5" s="1"/>
  <c r="AS200" i="5"/>
  <c r="BC200" i="5" s="1"/>
  <c r="AS199" i="5"/>
  <c r="BC199" i="5" s="1"/>
  <c r="AS146" i="5"/>
  <c r="BC146" i="5" s="1"/>
  <c r="AS212" i="5"/>
  <c r="BC212" i="5" s="1"/>
  <c r="AS55" i="5"/>
  <c r="BC55" i="5" s="1"/>
  <c r="BD55" i="5" s="1"/>
  <c r="AS460" i="5"/>
  <c r="BC460" i="5" s="1"/>
  <c r="AS109" i="5"/>
  <c r="BC109" i="5" s="1"/>
  <c r="AS365" i="5"/>
  <c r="BC365" i="5" s="1"/>
  <c r="AS28" i="5"/>
  <c r="BC28" i="5" s="1"/>
  <c r="AS179" i="5"/>
  <c r="BC179" i="5" s="1"/>
  <c r="AS467" i="5"/>
  <c r="BC467" i="5" s="1"/>
  <c r="AS180" i="5"/>
  <c r="BC180" i="5" s="1"/>
  <c r="BE180" i="5" s="1"/>
  <c r="AS398" i="5"/>
  <c r="BC398" i="5" s="1"/>
  <c r="AS207" i="5"/>
  <c r="BC207" i="5" s="1"/>
  <c r="AS428" i="5"/>
  <c r="BC428" i="5" s="1"/>
  <c r="AS488" i="5"/>
  <c r="BC488" i="5" s="1"/>
  <c r="AS306" i="5"/>
  <c r="BC306" i="5" s="1"/>
  <c r="BD306" i="5" s="1"/>
  <c r="AS98" i="5"/>
  <c r="BC98" i="5" s="1"/>
  <c r="BE98" i="5" s="1"/>
  <c r="AS512" i="5"/>
  <c r="BC512" i="5" s="1"/>
  <c r="AS304" i="5"/>
  <c r="BC304" i="5" s="1"/>
  <c r="AS46" i="5"/>
  <c r="BC46" i="5" s="1"/>
  <c r="AS202" i="5"/>
  <c r="BC202" i="5" s="1"/>
  <c r="AS337" i="5"/>
  <c r="BC337" i="5" s="1"/>
  <c r="BD337" i="5" s="1"/>
  <c r="AS228" i="5"/>
  <c r="BC228" i="5" s="1"/>
  <c r="AS552" i="5"/>
  <c r="BC552" i="5" s="1"/>
  <c r="AS157" i="5"/>
  <c r="BC157" i="5" s="1"/>
  <c r="AS355" i="5"/>
  <c r="AS508" i="5"/>
  <c r="BC508" i="5" s="1"/>
  <c r="AS515" i="5"/>
  <c r="BC515" i="5" s="1"/>
  <c r="AS215" i="5"/>
  <c r="BC215" i="5" s="1"/>
  <c r="AS29" i="5"/>
  <c r="BC29" i="5" s="1"/>
  <c r="AS454" i="5"/>
  <c r="AS402" i="5"/>
  <c r="BC402" i="5" s="1"/>
  <c r="AS222" i="5"/>
  <c r="BC222" i="5" s="1"/>
  <c r="BE222" i="5" s="1"/>
  <c r="AS84" i="5"/>
  <c r="BC84" i="5" s="1"/>
  <c r="BE84" i="5" s="1"/>
  <c r="AS225" i="5"/>
  <c r="BC225" i="5" s="1"/>
  <c r="AS302" i="5"/>
  <c r="BC302" i="5" s="1"/>
  <c r="AS380" i="5"/>
  <c r="BC380" i="5" s="1"/>
  <c r="AS86" i="5"/>
  <c r="BC86" i="5" s="1"/>
  <c r="BE86" i="5" s="1"/>
  <c r="AS230" i="5"/>
  <c r="BC230" i="5" s="1"/>
  <c r="BD230" i="5" s="1"/>
  <c r="AS358" i="5"/>
  <c r="BC358" i="5" s="1"/>
  <c r="AS371" i="5"/>
  <c r="BC371" i="5" s="1"/>
  <c r="AS149" i="5"/>
  <c r="BC149" i="5" s="1"/>
  <c r="AS192" i="5"/>
  <c r="BC192" i="5" s="1"/>
  <c r="AS85" i="5"/>
  <c r="BC85" i="5" s="1"/>
  <c r="AS22" i="5"/>
  <c r="BC22" i="5" s="1"/>
  <c r="BD22" i="5" s="1"/>
  <c r="AS234" i="5"/>
  <c r="BC234" i="5" s="1"/>
  <c r="BD234" i="5" s="1"/>
  <c r="AS254" i="5"/>
  <c r="BC254" i="5" s="1"/>
  <c r="AS403" i="5"/>
  <c r="BC403" i="5" s="1"/>
  <c r="AS106" i="5"/>
  <c r="BC106" i="5" s="1"/>
  <c r="AS178" i="5"/>
  <c r="BC178" i="5" s="1"/>
  <c r="AS259" i="5"/>
  <c r="AS368" i="5"/>
  <c r="BC368" i="5" s="1"/>
  <c r="AS384" i="5"/>
  <c r="BC384" i="5" s="1"/>
  <c r="AS143" i="5"/>
  <c r="BC143" i="5" s="1"/>
  <c r="AS66" i="5"/>
  <c r="BC66" i="5" s="1"/>
  <c r="BE66" i="5" s="1"/>
  <c r="AS122" i="5"/>
  <c r="BC122" i="5" s="1"/>
  <c r="BD122" i="5" s="1"/>
  <c r="AS99" i="5"/>
  <c r="BC99" i="5" s="1"/>
  <c r="AS36" i="5"/>
  <c r="BC36" i="5" s="1"/>
  <c r="AS267" i="5"/>
  <c r="BC267" i="5" s="1"/>
  <c r="AS283" i="5"/>
  <c r="BC283" i="5" s="1"/>
  <c r="BD283" i="5" s="1"/>
  <c r="AS425" i="5"/>
  <c r="BC425" i="5" s="1"/>
  <c r="AS148" i="5"/>
  <c r="BC148" i="5" s="1"/>
  <c r="AS195" i="5"/>
  <c r="BC195" i="5" s="1"/>
  <c r="BD195" i="5" s="1"/>
  <c r="AS271" i="5"/>
  <c r="BC271" i="5" s="1"/>
  <c r="AS386" i="5"/>
  <c r="BC386" i="5" s="1"/>
  <c r="AS399" i="5"/>
  <c r="BC399" i="5" s="1"/>
  <c r="AS115" i="5"/>
  <c r="BC115" i="5" s="1"/>
  <c r="BE115" i="5" s="1"/>
  <c r="AS47" i="5"/>
  <c r="BC47" i="5" s="1"/>
  <c r="AS184" i="5"/>
  <c r="BC184" i="5" s="1"/>
  <c r="AS100" i="5"/>
  <c r="BC100" i="5" s="1"/>
  <c r="BE100" i="5" s="1"/>
  <c r="AS45" i="5"/>
  <c r="BC45" i="5" s="1"/>
  <c r="BD45" i="5" s="1"/>
  <c r="AS303" i="5"/>
  <c r="AS409" i="5"/>
  <c r="BC409" i="5" s="1"/>
  <c r="AS336" i="5"/>
  <c r="BC336" i="5" s="1"/>
  <c r="AS96" i="5"/>
  <c r="BC96" i="5" s="1"/>
  <c r="AS216" i="5"/>
  <c r="BC216" i="5" s="1"/>
  <c r="AS327" i="5"/>
  <c r="BC327" i="5" s="1"/>
  <c r="AS324" i="5"/>
  <c r="BC324" i="5" s="1"/>
  <c r="AS357" i="5"/>
  <c r="BC357" i="5" s="1"/>
  <c r="AS182" i="5"/>
  <c r="BC182" i="5" s="1"/>
  <c r="AS78" i="5"/>
  <c r="BC78" i="5" s="1"/>
  <c r="BE78" i="5" s="1"/>
  <c r="AS172" i="5"/>
  <c r="BC172" i="5" s="1"/>
  <c r="AS142" i="5"/>
  <c r="BC142" i="5" s="1"/>
  <c r="AS37" i="5"/>
  <c r="BC37" i="5" s="1"/>
  <c r="AS522" i="5"/>
  <c r="BC522" i="5" s="1"/>
  <c r="AS366" i="5"/>
  <c r="BC366" i="5" s="1"/>
  <c r="AS165" i="5"/>
  <c r="BC165" i="5" s="1"/>
  <c r="AS322" i="5"/>
  <c r="BC322" i="5" s="1"/>
  <c r="AS110" i="5"/>
  <c r="BC110" i="5" s="1"/>
  <c r="AS464" i="5"/>
  <c r="BC464" i="5" s="1"/>
  <c r="AS51" i="5"/>
  <c r="BC51" i="5" s="1"/>
  <c r="BD51" i="5" s="1"/>
  <c r="AS471" i="5"/>
  <c r="BC471" i="5" s="1"/>
  <c r="AS438" i="5"/>
  <c r="BC438" i="5" s="1"/>
  <c r="AS556" i="5"/>
  <c r="BC556" i="5" s="1"/>
  <c r="AS479" i="5"/>
  <c r="BC479" i="5" s="1"/>
  <c r="AS489" i="5"/>
  <c r="BC489" i="5" s="1"/>
  <c r="AS389" i="5"/>
  <c r="BC389" i="5" s="1"/>
  <c r="AS558" i="5"/>
  <c r="BC558" i="5" s="1"/>
  <c r="AS342" i="5"/>
  <c r="BC342" i="5" s="1"/>
  <c r="AS56" i="5"/>
  <c r="BC56" i="5" s="1"/>
  <c r="AS13" i="5"/>
  <c r="AS256" i="5"/>
  <c r="BC256" i="5" s="1"/>
  <c r="AS547" i="5"/>
  <c r="BC547" i="5" s="1"/>
  <c r="AS223" i="5"/>
  <c r="BC223" i="5" s="1"/>
  <c r="BE223" i="5" s="1"/>
  <c r="AS81" i="5"/>
  <c r="BC81" i="5" s="1"/>
  <c r="AS313" i="5"/>
  <c r="BC313" i="5" s="1"/>
  <c r="AS473" i="5"/>
  <c r="BC473" i="5" s="1"/>
  <c r="AS340" i="5"/>
  <c r="BC340" i="5" s="1"/>
  <c r="AS27" i="5"/>
  <c r="BC27" i="5" s="1"/>
  <c r="BD27" i="5" s="1"/>
  <c r="AS516" i="5"/>
  <c r="BC516" i="5" s="1"/>
  <c r="AS139" i="5"/>
  <c r="BC139" i="5" s="1"/>
  <c r="AS93" i="5"/>
  <c r="BC93" i="5" s="1"/>
  <c r="AS430" i="5"/>
  <c r="BC430" i="5" s="1"/>
  <c r="AS494" i="5"/>
  <c r="BC494" i="5" s="1"/>
  <c r="AS551" i="5"/>
  <c r="BC551" i="5" s="1"/>
  <c r="AS485" i="5"/>
  <c r="BC485" i="5" s="1"/>
  <c r="AS23" i="5"/>
  <c r="BC23" i="5" s="1"/>
  <c r="BE23" i="5" s="1"/>
  <c r="AS227" i="5"/>
  <c r="BC227" i="5" s="1"/>
  <c r="AS519" i="5"/>
  <c r="BC519" i="5" s="1"/>
  <c r="AS397" i="5"/>
  <c r="BC397" i="5" s="1"/>
  <c r="AS299" i="5"/>
  <c r="BC299" i="5" s="1"/>
  <c r="BD299" i="5" s="1"/>
  <c r="AS443" i="5"/>
  <c r="BC443" i="5" s="1"/>
  <c r="AS498" i="5"/>
  <c r="BC498" i="5" s="1"/>
  <c r="AS407" i="5"/>
  <c r="BC407" i="5" s="1"/>
  <c r="AS111" i="5"/>
  <c r="BC111" i="5" s="1"/>
  <c r="AS116" i="5"/>
  <c r="BC116" i="5" s="1"/>
  <c r="AS231" i="5"/>
  <c r="BC231" i="5" s="1"/>
  <c r="BE231" i="5" s="1"/>
  <c r="AS367" i="5"/>
  <c r="BC367" i="5" s="1"/>
  <c r="AS388" i="5"/>
  <c r="BC388" i="5" s="1"/>
  <c r="AS123" i="5"/>
  <c r="AS282" i="5"/>
  <c r="AS354" i="5"/>
  <c r="BC354" i="5" s="1"/>
  <c r="AS348" i="5"/>
  <c r="BC348" i="5" s="1"/>
  <c r="AS57" i="5"/>
  <c r="BC57" i="5" s="1"/>
  <c r="AS152" i="5"/>
  <c r="BC152" i="5" s="1"/>
  <c r="AS97" i="5"/>
  <c r="BC97" i="5" s="1"/>
  <c r="BE97" i="5" s="1"/>
  <c r="AS201" i="5"/>
  <c r="BC201" i="5" s="1"/>
  <c r="AS321" i="5"/>
  <c r="BC321" i="5" s="1"/>
  <c r="AS361" i="5"/>
  <c r="BC361" i="5" s="1"/>
  <c r="AS472" i="5"/>
  <c r="BC472" i="5" s="1"/>
  <c r="AS140" i="5"/>
  <c r="BC140" i="5" s="1"/>
  <c r="AS238" i="5"/>
  <c r="BC238" i="5" s="1"/>
  <c r="AS198" i="5"/>
  <c r="BC198" i="5" s="1"/>
  <c r="BD198" i="5" s="1"/>
  <c r="AS193" i="5"/>
  <c r="BC193" i="5" s="1"/>
  <c r="AS394" i="5"/>
  <c r="BC394" i="5" s="1"/>
  <c r="AS131" i="5"/>
  <c r="BC131" i="5" s="1"/>
  <c r="AS25" i="5"/>
  <c r="BC25" i="5" s="1"/>
  <c r="AS141" i="5"/>
  <c r="BC141" i="5" s="1"/>
  <c r="BD141" i="5" s="1"/>
  <c r="AS48" i="5"/>
  <c r="BC48" i="5" s="1"/>
  <c r="BD48" i="5" s="1"/>
  <c r="AS266" i="5"/>
  <c r="BC266" i="5" s="1"/>
  <c r="AS331" i="5"/>
  <c r="AS383" i="5"/>
  <c r="BC383" i="5" s="1"/>
  <c r="AS490" i="5"/>
  <c r="AS155" i="5"/>
  <c r="BC155" i="5" s="1"/>
  <c r="AS194" i="5"/>
  <c r="BC194" i="5" s="1"/>
  <c r="AS247" i="5"/>
  <c r="BC247" i="5" s="1"/>
  <c r="AS257" i="5"/>
  <c r="BC257" i="5" s="1"/>
  <c r="AS406" i="5"/>
  <c r="BC406" i="5" s="1"/>
  <c r="AS117" i="5"/>
  <c r="BC117" i="5" s="1"/>
  <c r="AS40" i="5"/>
  <c r="BC40" i="5" s="1"/>
  <c r="AS121" i="5"/>
  <c r="BC121" i="5" s="1"/>
  <c r="AS75" i="5"/>
  <c r="BC75" i="5" s="1"/>
  <c r="BD75" i="5" s="1"/>
  <c r="AS214" i="5"/>
  <c r="BC214" i="5" s="1"/>
  <c r="BE214" i="5" s="1"/>
  <c r="AS284" i="5"/>
  <c r="BC284" i="5" s="1"/>
  <c r="AS312" i="5"/>
  <c r="BC312" i="5" s="1"/>
  <c r="AS436" i="5"/>
  <c r="BC436" i="5" s="1"/>
  <c r="AS102" i="5"/>
  <c r="BC102" i="5" s="1"/>
  <c r="AS217" i="5"/>
  <c r="BC217" i="5" s="1"/>
  <c r="AS291" i="5"/>
  <c r="BC291" i="5" s="1"/>
  <c r="AS396" i="5"/>
  <c r="BC396" i="5" s="1"/>
  <c r="AS416" i="5"/>
  <c r="BC416" i="5" s="1"/>
  <c r="AS88" i="5"/>
  <c r="BC88" i="5" s="1"/>
  <c r="AS65" i="5"/>
  <c r="BC65" i="5" s="1"/>
  <c r="BD65" i="5" s="1"/>
  <c r="AS169" i="5"/>
  <c r="BC169" i="5" s="1"/>
  <c r="AS83" i="5"/>
  <c r="BC83" i="5" s="1"/>
  <c r="BD83" i="5" s="1"/>
  <c r="AS445" i="5"/>
  <c r="BC445" i="5" s="1"/>
  <c r="AS504" i="5"/>
  <c r="BC504" i="5" s="1"/>
  <c r="AS493" i="5"/>
  <c r="BC493" i="5" s="1"/>
  <c r="AS135" i="5"/>
  <c r="BC135" i="5" s="1"/>
  <c r="AS235" i="5"/>
  <c r="BC235" i="5" s="1"/>
  <c r="AS468" i="5"/>
  <c r="BC468" i="5" s="1"/>
  <c r="AS241" i="5"/>
  <c r="BC241" i="5" s="1"/>
  <c r="AS333" i="5"/>
  <c r="BC333" i="5" s="1"/>
  <c r="AS539" i="5"/>
  <c r="BC539" i="5" s="1"/>
  <c r="AS408" i="5"/>
  <c r="BC408" i="5" s="1"/>
  <c r="AS502" i="5"/>
  <c r="BC502" i="5" s="1"/>
  <c r="AS459" i="5"/>
  <c r="BC459" i="5" s="1"/>
  <c r="AS431" i="5"/>
  <c r="BC431" i="5" s="1"/>
  <c r="AS173" i="5"/>
  <c r="BC173" i="5" s="1"/>
  <c r="AS534" i="5"/>
  <c r="BC534" i="5" s="1"/>
  <c r="AS250" i="5"/>
  <c r="BC250" i="5" s="1"/>
  <c r="AS535" i="5"/>
  <c r="BC535" i="5" s="1"/>
  <c r="AS463" i="5"/>
  <c r="AS82" i="5"/>
  <c r="BC82" i="5" s="1"/>
  <c r="BD82" i="5" s="1"/>
  <c r="AS423" i="5"/>
  <c r="BC423" i="5" s="1"/>
  <c r="AS63" i="5"/>
  <c r="BC63" i="5" s="1"/>
  <c r="AS253" i="5"/>
  <c r="BC253" i="5" s="1"/>
  <c r="AS456" i="5"/>
  <c r="BC456" i="5" s="1"/>
  <c r="AS183" i="5"/>
  <c r="BC183" i="5" s="1"/>
  <c r="AS118" i="5"/>
  <c r="BC118" i="5" s="1"/>
  <c r="AS138" i="5"/>
  <c r="BC138" i="5" s="1"/>
  <c r="AS308" i="5"/>
  <c r="BC308" i="5" s="1"/>
  <c r="AS334" i="5"/>
  <c r="BC334" i="5" s="1"/>
  <c r="AS181" i="5"/>
  <c r="BC181" i="5" s="1"/>
  <c r="AS305" i="5"/>
  <c r="BC305" i="5" s="1"/>
  <c r="BE305" i="5" s="1"/>
  <c r="AS458" i="5"/>
  <c r="BC458" i="5" s="1"/>
  <c r="AS211" i="5"/>
  <c r="BC211" i="5" s="1"/>
  <c r="AS53" i="5"/>
  <c r="BC53" i="5" s="1"/>
  <c r="BD53" i="5" s="1"/>
  <c r="AS301" i="5"/>
  <c r="BC301" i="5" s="1"/>
  <c r="AS60" i="5"/>
  <c r="BC60" i="5" s="1"/>
  <c r="AS246" i="5"/>
  <c r="BC246" i="5" s="1"/>
  <c r="BD246" i="5" s="1"/>
  <c r="AS369" i="5"/>
  <c r="BC369" i="5" s="1"/>
  <c r="BE369" i="5" s="1"/>
  <c r="AS104" i="5"/>
  <c r="AS133" i="5"/>
  <c r="BC133" i="5" s="1"/>
  <c r="BD133" i="5" s="1"/>
  <c r="AS279" i="5"/>
  <c r="BC279" i="5" s="1"/>
  <c r="AS404" i="5"/>
  <c r="BC404" i="5" s="1"/>
  <c r="AS127" i="5"/>
  <c r="BC127" i="5" s="1"/>
  <c r="BD127" i="5" s="1"/>
  <c r="AS268" i="5"/>
  <c r="BC268" i="5" s="1"/>
  <c r="AS433" i="5"/>
  <c r="BC433" i="5" s="1"/>
  <c r="AS42" i="5"/>
  <c r="BC42" i="5" s="1"/>
  <c r="AS35" i="5"/>
  <c r="BC35" i="5" s="1"/>
  <c r="BE35" i="5" s="1"/>
  <c r="AS320" i="5"/>
  <c r="BC320" i="5" s="1"/>
  <c r="AS410" i="5"/>
  <c r="BC410" i="5" s="1"/>
  <c r="AS124" i="5"/>
  <c r="BC124" i="5" s="1"/>
  <c r="AS326" i="5"/>
  <c r="BC326" i="5" s="1"/>
  <c r="AS39" i="5"/>
  <c r="BC39" i="5" s="1"/>
  <c r="AS103" i="5"/>
  <c r="BC103" i="5" s="1"/>
  <c r="BD103" i="5" s="1"/>
  <c r="AS391" i="5"/>
  <c r="BC391" i="5" s="1"/>
  <c r="AS220" i="5"/>
  <c r="BC220" i="5" s="1"/>
  <c r="AS518" i="5"/>
  <c r="BC518" i="5" s="1"/>
  <c r="AS343" i="5"/>
  <c r="AS381" i="5"/>
  <c r="BC381" i="5" s="1"/>
  <c r="AS105" i="5"/>
  <c r="BC105" i="5" s="1"/>
  <c r="AS134" i="5"/>
  <c r="BC134" i="5" s="1"/>
  <c r="AS349" i="5"/>
  <c r="BC349" i="5" s="1"/>
  <c r="AS125" i="5"/>
  <c r="BC125" i="5" s="1"/>
  <c r="AS196" i="5"/>
  <c r="BC196" i="5" s="1"/>
  <c r="AS176" i="5"/>
  <c r="BC176" i="5" s="1"/>
  <c r="AS542" i="5"/>
  <c r="BC542" i="5" s="1"/>
  <c r="AS170" i="5"/>
  <c r="BC170" i="5" s="1"/>
  <c r="AS483" i="5"/>
  <c r="BC483" i="5" s="1"/>
  <c r="AS332" i="5"/>
  <c r="BC332" i="5" s="1"/>
  <c r="AS187" i="5"/>
  <c r="BC187" i="5" s="1"/>
  <c r="AS224" i="5"/>
  <c r="BC224" i="5" s="1"/>
  <c r="AS448" i="5"/>
  <c r="BC448" i="5" s="1"/>
  <c r="AS24" i="5"/>
  <c r="BC24" i="5" s="1"/>
  <c r="AS364" i="5"/>
  <c r="BC364" i="5" s="1"/>
  <c r="AS527" i="5"/>
  <c r="BC527" i="5" s="1"/>
  <c r="AS520" i="5"/>
  <c r="BC520" i="5" s="1"/>
  <c r="AS32" i="5"/>
  <c r="BC32" i="5" s="1"/>
  <c r="AS531" i="5"/>
  <c r="BC531" i="5" s="1"/>
  <c r="AS513" i="5"/>
  <c r="BC513" i="5" s="1"/>
  <c r="AS377" i="5"/>
  <c r="BC377" i="5" s="1"/>
  <c r="AS507" i="5"/>
  <c r="BC507" i="5" s="1"/>
  <c r="AS144" i="5"/>
  <c r="BC144" i="5" s="1"/>
  <c r="BD144" i="5" s="1"/>
  <c r="AS263" i="5"/>
  <c r="BC263" i="5" s="1"/>
  <c r="BE263" i="5" s="1"/>
  <c r="AS34" i="5"/>
  <c r="BC34" i="5" s="1"/>
  <c r="BD34" i="5" s="1"/>
  <c r="AS323" i="5"/>
  <c r="BC323" i="5" s="1"/>
  <c r="AS38" i="5"/>
  <c r="BC38" i="5" s="1"/>
  <c r="BD38" i="5" s="1"/>
  <c r="AS307" i="5"/>
  <c r="BC307" i="5" s="1"/>
  <c r="AS163" i="5"/>
  <c r="BC163" i="5" s="1"/>
  <c r="BD163" i="5" s="1"/>
  <c r="AS112" i="5"/>
  <c r="BC112" i="5" s="1"/>
  <c r="BE112" i="5" s="1"/>
  <c r="AS269" i="5"/>
  <c r="BC269" i="5" s="1"/>
  <c r="BE269" i="5" s="1"/>
  <c r="AS395" i="5"/>
  <c r="BC395" i="5" s="1"/>
  <c r="AS204" i="5"/>
  <c r="BC204" i="5" s="1"/>
  <c r="AS255" i="5"/>
  <c r="BC255" i="5" s="1"/>
  <c r="AS162" i="5"/>
  <c r="BC162" i="5" s="1"/>
  <c r="AS168" i="5"/>
  <c r="BC168" i="5" s="1"/>
  <c r="BD168" i="5" s="1"/>
  <c r="AS62" i="5"/>
  <c r="BC62" i="5" s="1"/>
  <c r="AS393" i="5"/>
  <c r="BC393" i="5" s="1"/>
  <c r="BD393" i="5" s="1"/>
  <c r="AS79" i="5"/>
  <c r="AS311" i="5"/>
  <c r="BC311" i="5" s="1"/>
  <c r="AS335" i="5"/>
  <c r="BC335" i="5" s="1"/>
  <c r="AS74" i="5"/>
  <c r="BC74" i="5" s="1"/>
  <c r="AS160" i="5"/>
  <c r="BC160" i="5" s="1"/>
  <c r="AS171" i="5"/>
  <c r="BC171" i="5" s="1"/>
  <c r="AS370" i="5"/>
  <c r="BC370" i="5" s="1"/>
  <c r="AS175" i="5"/>
  <c r="BC175" i="5" s="1"/>
  <c r="BE175" i="5" s="1"/>
  <c r="AS341" i="5"/>
  <c r="BC341" i="5" s="1"/>
  <c r="AS174" i="5"/>
  <c r="BC174" i="5" s="1"/>
  <c r="AS158" i="5"/>
  <c r="BC158" i="5" s="1"/>
  <c r="BE158" i="5" s="1"/>
  <c r="AS58" i="5"/>
  <c r="BC58" i="5" s="1"/>
  <c r="AS206" i="5"/>
  <c r="BC206" i="5" s="1"/>
  <c r="AS486" i="5"/>
  <c r="BC486" i="5" s="1"/>
  <c r="AS376" i="5"/>
  <c r="BC376" i="5" s="1"/>
  <c r="AS378" i="5"/>
  <c r="BC378" i="5" s="1"/>
  <c r="AS530" i="5"/>
  <c r="BC530" i="5" s="1"/>
  <c r="AS153" i="5"/>
  <c r="BC153" i="5" s="1"/>
  <c r="AS526" i="5"/>
  <c r="BC526" i="5" s="1"/>
  <c r="AS328" i="5"/>
  <c r="BC328" i="5" s="1"/>
  <c r="AS461" i="5"/>
  <c r="BC461" i="5" s="1"/>
  <c r="AS20" i="5"/>
  <c r="BC20" i="5" s="1"/>
  <c r="AS451" i="5"/>
  <c r="BC451" i="5" s="1"/>
  <c r="AS145" i="5"/>
  <c r="BC145" i="5" s="1"/>
  <c r="AS441" i="5"/>
  <c r="BC441" i="5" s="1"/>
  <c r="AS69" i="5"/>
  <c r="BC69" i="5" s="1"/>
  <c r="AS274" i="5"/>
  <c r="BC274" i="5" s="1"/>
  <c r="AS237" i="5"/>
  <c r="BC237" i="5" s="1"/>
  <c r="BD237" i="5" s="1"/>
  <c r="AS147" i="5"/>
  <c r="BC147" i="5" s="1"/>
  <c r="AS346" i="5"/>
  <c r="BC346" i="5" s="1"/>
  <c r="AS475" i="5"/>
  <c r="BC475" i="5" s="1"/>
  <c r="AS30" i="5"/>
  <c r="BC30" i="5" s="1"/>
  <c r="AS203" i="5"/>
  <c r="BC203" i="5" s="1"/>
  <c r="AS107" i="5"/>
  <c r="BC107" i="5" s="1"/>
  <c r="AS457" i="5"/>
  <c r="BC457" i="5" s="1"/>
  <c r="AS419" i="5"/>
  <c r="BC419" i="5" s="1"/>
  <c r="AS517" i="5"/>
  <c r="BC517" i="5" s="1"/>
  <c r="AS420" i="5"/>
  <c r="BC420" i="5" s="1"/>
  <c r="AS248" i="5"/>
  <c r="BC248" i="5" s="1"/>
  <c r="AS544" i="5"/>
  <c r="BC544" i="5" s="1"/>
  <c r="AS213" i="5"/>
  <c r="BC213" i="5" s="1"/>
  <c r="AS330" i="5"/>
  <c r="BC330" i="5" s="1"/>
  <c r="AS374" i="5"/>
  <c r="BC374" i="5" s="1"/>
  <c r="AS229" i="5"/>
  <c r="BC229" i="5" s="1"/>
  <c r="AS411" i="5"/>
  <c r="BC411" i="5" s="1"/>
  <c r="AS72" i="5"/>
  <c r="BC72" i="5" s="1"/>
  <c r="AS297" i="5"/>
  <c r="BC297" i="5" s="1"/>
  <c r="AS61" i="5"/>
  <c r="BC61" i="5" s="1"/>
  <c r="BD61" i="5" s="1"/>
  <c r="AS413" i="5"/>
  <c r="BC413" i="5" s="1"/>
  <c r="AS277" i="5"/>
  <c r="BC277" i="5" s="1"/>
  <c r="AS44" i="5"/>
  <c r="BC44" i="5" s="1"/>
  <c r="BD44" i="5" s="1"/>
  <c r="AS270" i="5"/>
  <c r="BC270" i="5" s="1"/>
  <c r="AS95" i="5"/>
  <c r="BC95" i="5" s="1"/>
  <c r="AS482" i="5"/>
  <c r="BC482" i="5" s="1"/>
  <c r="AS529" i="5"/>
  <c r="BC529" i="5" s="1"/>
  <c r="AS151" i="5"/>
  <c r="BC151" i="5" s="1"/>
  <c r="AS67" i="5"/>
  <c r="BC67" i="5" s="1"/>
  <c r="AS167" i="5"/>
  <c r="BC167" i="5" s="1"/>
  <c r="AS375" i="5"/>
  <c r="BC375" i="5" s="1"/>
  <c r="AS314" i="5"/>
  <c r="BC314" i="5" s="1"/>
  <c r="AS300" i="5"/>
  <c r="BC300" i="5" s="1"/>
  <c r="BE300" i="5" s="1"/>
  <c r="AS166" i="5"/>
  <c r="BC166" i="5" s="1"/>
  <c r="BE166" i="5" s="1"/>
  <c r="AS76" i="5"/>
  <c r="BC76" i="5" s="1"/>
  <c r="AS41" i="5"/>
  <c r="BC41" i="5" s="1"/>
  <c r="BD41" i="5" s="1"/>
  <c r="AS347" i="5"/>
  <c r="BC347" i="5" s="1"/>
  <c r="AS325" i="5"/>
  <c r="BC325" i="5" s="1"/>
  <c r="AS137" i="5"/>
  <c r="BC137" i="5" s="1"/>
  <c r="AS189" i="5"/>
  <c r="BC189" i="5" s="1"/>
  <c r="AS352" i="5"/>
  <c r="BC352" i="5" s="1"/>
  <c r="BE352" i="5" s="1"/>
  <c r="AS295" i="5"/>
  <c r="BC295" i="5" s="1"/>
  <c r="AS244" i="5"/>
  <c r="BC244" i="5" s="1"/>
  <c r="AS474" i="5"/>
  <c r="BC474" i="5" s="1"/>
  <c r="AS119" i="5"/>
  <c r="BC119" i="5" s="1"/>
  <c r="BD119" i="5" s="1"/>
  <c r="AS338" i="5"/>
  <c r="BC338" i="5" s="1"/>
  <c r="BD338" i="5" s="1"/>
  <c r="AS239" i="5"/>
  <c r="BC239" i="5" s="1"/>
  <c r="AS89" i="5"/>
  <c r="BC89" i="5" s="1"/>
  <c r="AS260" i="5"/>
  <c r="BC260" i="5" s="1"/>
  <c r="AS278" i="5"/>
  <c r="BC278" i="5" s="1"/>
  <c r="BD278" i="5" s="1"/>
  <c r="AS232" i="5"/>
  <c r="BC232" i="5" s="1"/>
  <c r="AS52" i="5"/>
  <c r="BC52" i="5" s="1"/>
  <c r="AS77" i="5"/>
  <c r="AS249" i="5"/>
  <c r="BC249" i="5" s="1"/>
  <c r="AS288" i="5"/>
  <c r="BC288" i="5" s="1"/>
  <c r="AS186" i="5"/>
  <c r="BC186" i="5" s="1"/>
  <c r="AS130" i="5"/>
  <c r="BC130" i="5" s="1"/>
  <c r="BE130" i="5" s="1"/>
  <c r="AS49" i="5"/>
  <c r="BC49" i="5" s="1"/>
  <c r="AS385" i="5"/>
  <c r="BC385" i="5" s="1"/>
  <c r="AS480" i="5"/>
  <c r="BC480" i="5" s="1"/>
  <c r="AS316" i="5"/>
  <c r="BC316" i="5" s="1"/>
  <c r="BD316" i="5" s="1"/>
  <c r="AS87" i="5"/>
  <c r="BC87" i="5" s="1"/>
  <c r="AS465" i="5"/>
  <c r="BC465" i="5" s="1"/>
  <c r="AS363" i="5"/>
  <c r="BC363" i="5" s="1"/>
  <c r="AS424" i="5"/>
  <c r="BC424" i="5" s="1"/>
  <c r="AS281" i="5"/>
  <c r="BC281" i="5" s="1"/>
  <c r="AS537" i="5"/>
  <c r="BC537" i="5" s="1"/>
  <c r="BD537" i="5" s="1"/>
  <c r="AS275" i="5"/>
  <c r="BC275" i="5" s="1"/>
  <c r="AS372" i="5"/>
  <c r="BC372" i="5" s="1"/>
  <c r="AS129" i="5"/>
  <c r="BC129" i="5" s="1"/>
  <c r="AS427" i="5"/>
  <c r="BC427" i="5" s="1"/>
  <c r="AS108" i="5"/>
  <c r="BC108" i="5" s="1"/>
  <c r="AS421" i="5"/>
  <c r="BC421" i="5" s="1"/>
  <c r="AS543" i="5"/>
  <c r="BC543" i="5" s="1"/>
  <c r="BE543" i="5" s="1"/>
  <c r="AS7" i="5"/>
  <c r="BC7" i="5" s="1"/>
  <c r="BD7" i="5" s="1"/>
  <c r="AS555" i="5"/>
  <c r="BC555" i="5" s="1"/>
  <c r="BE555" i="5" s="1"/>
  <c r="AS509" i="5"/>
  <c r="BC509" i="5" s="1"/>
  <c r="AS491" i="5"/>
  <c r="BC491" i="5" s="1"/>
  <c r="AS440" i="5"/>
  <c r="BC440" i="5" s="1"/>
  <c r="AS94" i="5"/>
  <c r="BC94" i="5" s="1"/>
  <c r="BD94" i="5" s="1"/>
  <c r="AS437" i="5"/>
  <c r="BC437" i="5" s="1"/>
  <c r="AS285" i="5"/>
  <c r="BC285" i="5" s="1"/>
  <c r="AS545" i="5"/>
  <c r="BC545" i="5" s="1"/>
  <c r="AS549" i="5"/>
  <c r="BC549" i="5" s="1"/>
  <c r="BE549" i="5" s="1"/>
  <c r="AS136" i="5"/>
  <c r="BC136" i="5" s="1"/>
  <c r="AS296" i="5"/>
  <c r="BC296" i="5" s="1"/>
  <c r="BD296" i="5" s="1"/>
  <c r="AS262" i="5"/>
  <c r="BC262" i="5" s="1"/>
  <c r="BE262" i="5" s="1"/>
  <c r="AS245" i="5"/>
  <c r="BC245" i="5" s="1"/>
  <c r="BD245" i="5" s="1"/>
  <c r="AS289" i="5"/>
  <c r="BC289" i="5" s="1"/>
  <c r="AS280" i="5"/>
  <c r="BC280" i="5" s="1"/>
  <c r="AS59" i="5"/>
  <c r="BC59" i="5" s="1"/>
  <c r="BE59" i="5" s="1"/>
  <c r="AS190" i="5"/>
  <c r="BC190" i="5" s="1"/>
  <c r="AS559" i="5"/>
  <c r="BC559" i="5" s="1"/>
  <c r="AS226" i="5"/>
  <c r="BC226" i="5" s="1"/>
  <c r="AS309" i="5"/>
  <c r="BC309" i="5" s="1"/>
  <c r="AS185" i="5"/>
  <c r="BC185" i="5" s="1"/>
  <c r="AS379" i="5"/>
  <c r="BC379" i="5" s="1"/>
  <c r="AS242" i="5"/>
  <c r="BC242" i="5" s="1"/>
  <c r="AS553" i="5"/>
  <c r="BC553" i="5" s="1"/>
  <c r="AS362" i="5"/>
  <c r="BC362" i="5" s="1"/>
  <c r="AS150" i="5"/>
  <c r="BC150" i="5" s="1"/>
  <c r="AS525" i="5"/>
  <c r="BC525" i="5" s="1"/>
  <c r="AS345" i="5"/>
  <c r="BC345" i="5" s="1"/>
  <c r="AS92" i="5"/>
  <c r="BC92" i="5" s="1"/>
  <c r="AS298" i="5"/>
  <c r="BC298" i="5" s="1"/>
  <c r="AS191" i="5"/>
  <c r="BC191" i="5" s="1"/>
  <c r="BE191" i="5" s="1"/>
  <c r="AS462" i="5"/>
  <c r="BC462" i="5" s="1"/>
  <c r="BD462" i="5" s="1"/>
  <c r="AS432" i="5"/>
  <c r="BC432" i="5" s="1"/>
  <c r="AS412" i="5"/>
  <c r="BC412" i="5" s="1"/>
  <c r="AS521" i="5"/>
  <c r="BC521" i="5" s="1"/>
  <c r="BD521" i="5" s="1"/>
  <c r="AS353" i="5"/>
  <c r="BC353" i="5" s="1"/>
  <c r="AS401" i="5"/>
  <c r="BC401" i="5" s="1"/>
  <c r="AS90" i="5"/>
  <c r="BC90" i="5" s="1"/>
  <c r="AS453" i="5"/>
  <c r="BC453" i="5" s="1"/>
  <c r="BD453" i="5" s="1"/>
  <c r="AS450" i="5"/>
  <c r="BC450" i="5" s="1"/>
  <c r="AS360" i="5"/>
  <c r="BC360" i="5" s="1"/>
  <c r="AS344" i="5"/>
  <c r="BC344" i="5" s="1"/>
  <c r="BE344" i="5" s="1"/>
  <c r="AS392" i="5"/>
  <c r="BC392" i="5" s="1"/>
  <c r="AS251" i="5"/>
  <c r="BC251" i="5" s="1"/>
  <c r="AS510" i="5"/>
  <c r="BC510" i="5" s="1"/>
  <c r="AS560" i="5"/>
  <c r="BC560" i="5" s="1"/>
  <c r="BE560" i="5" s="1"/>
  <c r="AS536" i="5"/>
  <c r="BC536" i="5" s="1"/>
  <c r="BD536" i="5" s="1"/>
  <c r="AS476" i="5"/>
  <c r="BC476" i="5" s="1"/>
  <c r="AS477" i="5"/>
  <c r="BC477" i="5" s="1"/>
  <c r="AS503" i="5"/>
  <c r="BC503" i="5" s="1"/>
  <c r="AS469" i="5"/>
  <c r="BC469" i="5" s="1"/>
  <c r="BD469" i="5" s="1"/>
  <c r="AS10" i="5"/>
  <c r="AS70" i="5"/>
  <c r="BC70" i="5" s="1"/>
  <c r="BD70" i="5" s="1"/>
  <c r="AS209" i="5"/>
  <c r="BC209" i="5" s="1"/>
  <c r="AS400" i="5"/>
  <c r="BC400" i="5" s="1"/>
  <c r="AS233" i="5"/>
  <c r="BC233" i="5" s="1"/>
  <c r="AS415" i="5"/>
  <c r="BC415" i="5" s="1"/>
  <c r="AS80" i="5"/>
  <c r="BC80" i="5" s="1"/>
  <c r="AS294" i="5"/>
  <c r="BC294" i="5" s="1"/>
  <c r="AS73" i="5"/>
  <c r="BC73" i="5" s="1"/>
  <c r="AS113" i="5"/>
  <c r="BC113" i="5" s="1"/>
  <c r="BD113" i="5" s="1"/>
  <c r="AS533" i="5"/>
  <c r="BC533" i="5" s="1"/>
  <c r="BD533" i="5" s="1"/>
  <c r="AS478" i="5"/>
  <c r="BC478" i="5" s="1"/>
  <c r="AS9" i="5"/>
  <c r="AS218" i="5"/>
  <c r="BC218" i="5" s="1"/>
  <c r="AS132" i="5"/>
  <c r="BC132" i="5" s="1"/>
  <c r="AS557" i="5"/>
  <c r="BC557" i="5" s="1"/>
  <c r="AS293" i="5"/>
  <c r="BC293" i="5" s="1"/>
  <c r="AS501" i="5"/>
  <c r="BC501" i="5" s="1"/>
  <c r="AS126" i="5"/>
  <c r="BC126" i="5" s="1"/>
  <c r="AS499" i="5"/>
  <c r="BC499" i="5" s="1"/>
  <c r="AS541" i="5"/>
  <c r="BC541" i="5" s="1"/>
  <c r="AS481" i="5"/>
  <c r="BC481" i="5" s="1"/>
  <c r="BD481" i="5" s="1"/>
  <c r="AS236" i="5"/>
  <c r="BC236" i="5" s="1"/>
  <c r="BD236" i="5" s="1"/>
  <c r="AS554" i="5"/>
  <c r="BC554" i="5" s="1"/>
  <c r="AS286" i="5"/>
  <c r="BC286" i="5" s="1"/>
  <c r="AS273" i="5"/>
  <c r="BC273" i="5" s="1"/>
  <c r="AS487" i="5"/>
  <c r="BC487" i="5" s="1"/>
  <c r="AS470" i="5"/>
  <c r="BC470" i="5" s="1"/>
  <c r="BE470" i="5" s="1"/>
  <c r="AS68" i="5"/>
  <c r="BC68" i="5" s="1"/>
  <c r="AS221" i="5"/>
  <c r="BC221" i="5" s="1"/>
  <c r="BE221" i="5" s="1"/>
  <c r="AS317" i="5"/>
  <c r="BC317" i="5" s="1"/>
  <c r="AS8" i="5"/>
  <c r="BC8" i="5" s="1"/>
  <c r="BD8" i="5" s="1"/>
  <c r="AS329" i="5"/>
  <c r="BC329" i="5" s="1"/>
  <c r="BE329" i="5" s="1"/>
  <c r="AS447" i="5"/>
  <c r="BC447" i="5" s="1"/>
  <c r="AS351" i="5"/>
  <c r="BC351" i="5" s="1"/>
  <c r="AS532" i="5"/>
  <c r="BC532" i="5" s="1"/>
  <c r="AS546" i="5"/>
  <c r="BC546" i="5" s="1"/>
  <c r="AS414" i="5"/>
  <c r="BC414" i="5" s="1"/>
  <c r="AS387" i="5"/>
  <c r="BC387" i="5" s="1"/>
  <c r="AS318" i="5"/>
  <c r="BC318" i="5" s="1"/>
  <c r="AS272" i="5"/>
  <c r="BC272" i="5" s="1"/>
  <c r="AS523" i="5"/>
  <c r="BC523" i="5" s="1"/>
  <c r="AS188" i="5"/>
  <c r="BC188" i="5" s="1"/>
  <c r="BE188" i="5" s="1"/>
  <c r="AS495" i="5"/>
  <c r="BC495" i="5" s="1"/>
  <c r="BE495" i="5" s="1"/>
  <c r="AS276" i="5"/>
  <c r="BC276" i="5" s="1"/>
  <c r="AS356" i="5"/>
  <c r="BC356" i="5" s="1"/>
  <c r="BD356" i="5" s="1"/>
  <c r="AS243" i="5"/>
  <c r="BC243" i="5" s="1"/>
  <c r="AS261" i="5"/>
  <c r="BC261" i="5" s="1"/>
  <c r="AS19" i="5"/>
  <c r="BC19" i="5" s="1"/>
  <c r="BB552" i="5"/>
  <c r="BA552" i="5"/>
  <c r="BB539" i="5"/>
  <c r="BA539" i="5"/>
  <c r="BA514" i="5"/>
  <c r="BB514" i="5"/>
  <c r="BA273" i="5"/>
  <c r="BB273" i="5"/>
  <c r="BB376" i="5"/>
  <c r="BA376" i="5"/>
  <c r="BA90" i="5"/>
  <c r="BB90" i="5"/>
  <c r="BB456" i="5"/>
  <c r="BA456" i="5"/>
  <c r="BA498" i="5"/>
  <c r="BB498" i="5"/>
  <c r="BA349" i="5"/>
  <c r="BB349" i="5"/>
  <c r="BA258" i="5"/>
  <c r="BB258" i="5"/>
  <c r="BB155" i="5"/>
  <c r="BA155" i="5"/>
  <c r="BA534" i="5"/>
  <c r="BB534" i="5"/>
  <c r="BA519" i="5"/>
  <c r="BB519" i="5"/>
  <c r="BA379" i="5"/>
  <c r="BB379" i="5"/>
  <c r="BA385" i="5"/>
  <c r="BB385" i="5"/>
  <c r="BB170" i="5"/>
  <c r="BA170" i="5"/>
  <c r="BB513" i="5"/>
  <c r="BA513" i="5"/>
  <c r="BB441" i="5"/>
  <c r="BA441" i="5"/>
  <c r="BA204" i="5"/>
  <c r="BB204" i="5"/>
  <c r="BA535" i="5"/>
  <c r="BB535" i="5"/>
  <c r="BA445" i="5"/>
  <c r="BB445" i="5"/>
  <c r="BA485" i="5"/>
  <c r="BB485" i="5"/>
  <c r="BA520" i="5"/>
  <c r="BB520" i="5"/>
  <c r="BB487" i="5"/>
  <c r="BA487" i="5"/>
  <c r="BB434" i="5"/>
  <c r="BA434" i="5"/>
  <c r="BA506" i="5"/>
  <c r="BB506" i="5"/>
  <c r="BA427" i="5"/>
  <c r="BB427" i="5"/>
  <c r="BB497" i="5"/>
  <c r="BA497" i="5"/>
  <c r="BA362" i="5"/>
  <c r="BB362" i="5"/>
  <c r="BB355" i="5"/>
  <c r="BA355" i="5"/>
  <c r="BA209" i="5"/>
  <c r="BB209" i="5"/>
  <c r="BB370" i="5"/>
  <c r="BA370" i="5"/>
  <c r="BA436" i="5"/>
  <c r="BB436" i="5"/>
  <c r="BB319" i="5"/>
  <c r="BA319" i="5"/>
  <c r="BB272" i="5"/>
  <c r="BA272" i="5"/>
  <c r="BB182" i="5"/>
  <c r="BA182" i="5"/>
  <c r="BB124" i="5"/>
  <c r="BA124" i="5"/>
  <c r="BA79" i="5"/>
  <c r="BB79" i="5"/>
  <c r="BB537" i="5"/>
  <c r="BA537" i="5"/>
  <c r="BA481" i="5"/>
  <c r="BB481" i="5"/>
  <c r="BA557" i="5"/>
  <c r="BB557" i="5"/>
  <c r="BA328" i="5"/>
  <c r="BB328" i="5"/>
  <c r="BB505" i="5"/>
  <c r="BA505" i="5"/>
  <c r="BB473" i="5"/>
  <c r="BA473" i="5"/>
  <c r="BA387" i="5"/>
  <c r="BB387" i="5"/>
  <c r="BB474" i="5"/>
  <c r="BA474" i="5"/>
  <c r="BB394" i="5"/>
  <c r="BA394" i="5"/>
  <c r="BA472" i="5"/>
  <c r="BB472" i="5"/>
  <c r="BB406" i="5"/>
  <c r="BA406" i="5"/>
  <c r="BB340" i="5"/>
  <c r="BA340" i="5"/>
  <c r="BA408" i="5"/>
  <c r="BB408" i="5"/>
  <c r="BA356" i="5"/>
  <c r="BB356" i="5"/>
  <c r="BA420" i="5"/>
  <c r="BB420" i="5"/>
  <c r="BA343" i="5"/>
  <c r="BB343" i="5"/>
  <c r="BB281" i="5"/>
  <c r="BA281" i="5"/>
  <c r="BB203" i="5"/>
  <c r="BA203" i="5"/>
  <c r="BA106" i="5"/>
  <c r="BB106" i="5"/>
  <c r="BA28" i="5"/>
  <c r="BB28" i="5"/>
  <c r="BB542" i="5"/>
  <c r="BA542" i="5"/>
  <c r="BB524" i="5"/>
  <c r="BA524" i="5"/>
  <c r="BB517" i="5"/>
  <c r="BA517" i="5"/>
  <c r="BB523" i="5"/>
  <c r="BA523" i="5"/>
  <c r="BB489" i="5"/>
  <c r="BA489" i="5"/>
  <c r="BB443" i="5"/>
  <c r="BA443" i="5"/>
  <c r="BA511" i="5"/>
  <c r="BB511" i="5"/>
  <c r="BA439" i="5"/>
  <c r="BB439" i="5"/>
  <c r="BA515" i="5"/>
  <c r="BB515" i="5"/>
  <c r="BA401" i="5"/>
  <c r="BB401" i="5"/>
  <c r="BB366" i="5"/>
  <c r="BA366" i="5"/>
  <c r="BA254" i="5"/>
  <c r="BB254" i="5"/>
  <c r="BA377" i="5"/>
  <c r="BB377" i="5"/>
  <c r="BA250" i="5"/>
  <c r="BB250" i="5"/>
  <c r="BB360" i="5"/>
  <c r="BA360" i="5"/>
  <c r="BB321" i="5"/>
  <c r="BA321" i="5"/>
  <c r="BA217" i="5"/>
  <c r="BB217" i="5"/>
  <c r="BA104" i="5"/>
  <c r="BB104" i="5"/>
  <c r="BB77" i="5"/>
  <c r="BA77" i="5"/>
  <c r="BA19" i="5"/>
  <c r="BB19" i="5"/>
  <c r="BB501" i="5"/>
  <c r="BA501" i="5"/>
  <c r="BA558" i="5"/>
  <c r="BB558" i="5"/>
  <c r="BB425" i="5"/>
  <c r="BA425" i="5"/>
  <c r="BB509" i="5"/>
  <c r="BA509" i="5"/>
  <c r="BB479" i="5"/>
  <c r="BA479" i="5"/>
  <c r="BA405" i="5"/>
  <c r="BB405" i="5"/>
  <c r="BB480" i="5"/>
  <c r="BA480" i="5"/>
  <c r="BA403" i="5"/>
  <c r="BB403" i="5"/>
  <c r="BA478" i="5"/>
  <c r="BB478" i="5"/>
  <c r="BB416" i="5"/>
  <c r="BA416" i="5"/>
  <c r="BA342" i="5"/>
  <c r="BB342" i="5"/>
  <c r="BB417" i="5"/>
  <c r="BA417" i="5"/>
  <c r="BB361" i="5"/>
  <c r="BA361" i="5"/>
  <c r="BA428" i="5"/>
  <c r="BB428" i="5"/>
  <c r="BA358" i="5"/>
  <c r="BB358" i="5"/>
  <c r="BB307" i="5"/>
  <c r="BA307" i="5"/>
  <c r="BA205" i="5"/>
  <c r="BB205" i="5"/>
  <c r="BB128" i="5"/>
  <c r="BA128" i="5"/>
  <c r="BB58" i="5"/>
  <c r="BA58" i="5"/>
  <c r="BA543" i="5"/>
  <c r="BB543" i="5"/>
  <c r="BA493" i="5"/>
  <c r="BB493" i="5"/>
  <c r="BB447" i="5"/>
  <c r="BA447" i="5"/>
  <c r="BA442" i="5"/>
  <c r="BB442" i="5"/>
  <c r="BA260" i="5"/>
  <c r="BB260" i="5"/>
  <c r="BA244" i="5"/>
  <c r="BB244" i="5"/>
  <c r="BA36" i="5"/>
  <c r="BB36" i="5"/>
  <c r="BA437" i="5"/>
  <c r="BB437" i="5"/>
  <c r="BB486" i="5"/>
  <c r="BA486" i="5"/>
  <c r="BB426" i="5"/>
  <c r="BA426" i="5"/>
  <c r="BA354" i="5"/>
  <c r="BB354" i="5"/>
  <c r="BA365" i="5"/>
  <c r="BB365" i="5"/>
  <c r="BB253" i="5"/>
  <c r="BA253" i="5"/>
  <c r="BA49" i="5"/>
  <c r="BB49" i="5"/>
  <c r="BA549" i="5"/>
  <c r="BB549" i="5"/>
  <c r="BA495" i="5"/>
  <c r="BB495" i="5"/>
  <c r="BB462" i="5"/>
  <c r="BA462" i="5"/>
  <c r="BB457" i="5"/>
  <c r="BA457" i="5"/>
  <c r="BA389" i="5"/>
  <c r="BB389" i="5"/>
  <c r="BA275" i="5"/>
  <c r="BB275" i="5"/>
  <c r="BB102" i="5"/>
  <c r="BA102" i="5"/>
  <c r="BB541" i="5"/>
  <c r="BA541" i="5"/>
  <c r="BA522" i="5"/>
  <c r="BB522" i="5"/>
  <c r="BA507" i="5"/>
  <c r="BB507" i="5"/>
  <c r="BB504" i="5"/>
  <c r="BA504" i="5"/>
  <c r="BA364" i="5"/>
  <c r="BB364" i="5"/>
  <c r="BB375" i="5"/>
  <c r="BA375" i="5"/>
  <c r="BB294" i="5"/>
  <c r="BA294" i="5"/>
  <c r="BB142" i="5"/>
  <c r="BA142" i="5"/>
  <c r="BA546" i="5"/>
  <c r="BB546" i="5"/>
  <c r="BB491" i="5"/>
  <c r="BA491" i="5"/>
  <c r="BA560" i="5"/>
  <c r="BB560" i="5"/>
  <c r="BA421" i="5"/>
  <c r="BB421" i="5"/>
  <c r="BA508" i="5"/>
  <c r="BB508" i="5"/>
  <c r="BB476" i="5"/>
  <c r="BA476" i="5"/>
  <c r="BA396" i="5"/>
  <c r="BB396" i="5"/>
  <c r="BB477" i="5"/>
  <c r="BA477" i="5"/>
  <c r="BA397" i="5"/>
  <c r="BB397" i="5"/>
  <c r="BA475" i="5"/>
  <c r="BB475" i="5"/>
  <c r="BA415" i="5"/>
  <c r="BB415" i="5"/>
  <c r="BA341" i="5"/>
  <c r="BB341" i="5"/>
  <c r="BB413" i="5"/>
  <c r="BA413" i="5"/>
  <c r="BA359" i="5"/>
  <c r="BB359" i="5"/>
  <c r="BB423" i="5"/>
  <c r="BA423" i="5"/>
  <c r="BA357" i="5"/>
  <c r="BB357" i="5"/>
  <c r="BB291" i="5"/>
  <c r="BA291" i="5"/>
  <c r="BB165" i="5"/>
  <c r="BA165" i="5"/>
  <c r="BA120" i="5"/>
  <c r="BB120" i="5"/>
  <c r="BA63" i="5"/>
  <c r="BB63" i="5"/>
  <c r="BB438" i="5"/>
  <c r="BA438" i="5"/>
  <c r="BA550" i="5"/>
  <c r="BB550" i="5"/>
  <c r="BA536" i="5"/>
  <c r="BB536" i="5"/>
  <c r="BA555" i="5"/>
  <c r="BB555" i="5"/>
  <c r="BB499" i="5"/>
  <c r="BA499" i="5"/>
  <c r="BA455" i="5"/>
  <c r="BB455" i="5"/>
  <c r="BB308" i="5"/>
  <c r="BA308" i="5"/>
  <c r="BA465" i="5"/>
  <c r="BB465" i="5"/>
  <c r="BB270" i="5"/>
  <c r="BA270" i="5"/>
  <c r="BA458" i="5"/>
  <c r="BB458" i="5"/>
  <c r="BB388" i="5"/>
  <c r="BA388" i="5"/>
  <c r="BA289" i="5"/>
  <c r="BB289" i="5"/>
  <c r="BB390" i="5"/>
  <c r="BA390" i="5"/>
  <c r="BA304" i="5"/>
  <c r="BB304" i="5"/>
  <c r="BB404" i="5"/>
  <c r="BA404" i="5"/>
  <c r="BB301" i="5"/>
  <c r="BA301" i="5"/>
  <c r="BB239" i="5"/>
  <c r="BA239" i="5"/>
  <c r="BB185" i="5"/>
  <c r="BA185" i="5"/>
  <c r="BA87" i="5"/>
  <c r="BB87" i="5"/>
  <c r="BA33" i="5"/>
  <c r="BB33" i="5"/>
  <c r="BA528" i="5"/>
  <c r="BB528" i="5"/>
  <c r="BB433" i="5"/>
  <c r="BA433" i="5"/>
  <c r="BB449" i="5"/>
  <c r="BA449" i="5"/>
  <c r="BB510" i="5"/>
  <c r="BA510" i="5"/>
  <c r="BA482" i="5"/>
  <c r="BB482" i="5"/>
  <c r="BB430" i="5"/>
  <c r="BA430" i="5"/>
  <c r="BB484" i="5"/>
  <c r="BA484" i="5"/>
  <c r="BB412" i="5"/>
  <c r="BA412" i="5"/>
  <c r="BA490" i="5"/>
  <c r="BB490" i="5"/>
  <c r="BA311" i="5"/>
  <c r="BB311" i="5"/>
  <c r="BB348" i="5"/>
  <c r="BA348" i="5"/>
  <c r="BB418" i="5"/>
  <c r="BA418" i="5"/>
  <c r="BA363" i="5"/>
  <c r="BB363" i="5"/>
  <c r="BA431" i="5"/>
  <c r="BB431" i="5"/>
  <c r="BB224" i="5"/>
  <c r="BA224" i="5"/>
  <c r="BB327" i="5"/>
  <c r="BA327" i="5"/>
  <c r="BA216" i="5"/>
  <c r="BB216" i="5"/>
  <c r="BA146" i="5"/>
  <c r="BB146" i="5"/>
  <c r="BA57" i="5"/>
  <c r="BB57" i="5"/>
  <c r="BB464" i="5"/>
  <c r="BA464" i="5"/>
  <c r="BA407" i="5"/>
  <c r="BB407" i="5"/>
  <c r="BB548" i="5"/>
  <c r="BA548" i="5"/>
  <c r="BA229" i="5"/>
  <c r="BB229" i="5"/>
  <c r="BB502" i="5"/>
  <c r="BA502" i="5"/>
  <c r="BA466" i="5"/>
  <c r="BB466" i="5"/>
  <c r="BB353" i="5"/>
  <c r="BA353" i="5"/>
  <c r="BB468" i="5"/>
  <c r="BA468" i="5"/>
  <c r="BA382" i="5"/>
  <c r="BB382" i="5"/>
  <c r="BB460" i="5"/>
  <c r="BA460" i="5"/>
  <c r="BB398" i="5"/>
  <c r="BA398" i="5"/>
  <c r="BB333" i="5"/>
  <c r="BA333" i="5"/>
  <c r="BA399" i="5"/>
  <c r="BB399" i="5"/>
  <c r="BB345" i="5"/>
  <c r="BA345" i="5"/>
  <c r="BA410" i="5"/>
  <c r="BB410" i="5"/>
  <c r="BA320" i="5"/>
  <c r="BB320" i="5"/>
  <c r="BB259" i="5"/>
  <c r="BA259" i="5"/>
  <c r="BB162" i="5"/>
  <c r="BA162" i="5"/>
  <c r="BB129" i="5"/>
  <c r="BA129" i="5"/>
  <c r="BB42" i="5"/>
  <c r="BA42" i="5"/>
  <c r="BA527" i="5"/>
  <c r="BB527" i="5"/>
  <c r="BA451" i="5"/>
  <c r="BB451" i="5"/>
  <c r="BA526" i="5"/>
  <c r="BB526" i="5"/>
  <c r="BA374" i="5"/>
  <c r="BB374" i="5"/>
  <c r="BA384" i="5"/>
  <c r="BB384" i="5"/>
  <c r="BA248" i="5"/>
  <c r="BB248" i="5"/>
  <c r="BB181" i="5"/>
  <c r="BA181" i="5"/>
  <c r="BA533" i="5"/>
  <c r="BB533" i="5"/>
  <c r="BB518" i="5"/>
  <c r="BA518" i="5"/>
  <c r="BB432" i="5"/>
  <c r="BA432" i="5"/>
  <c r="BA496" i="5"/>
  <c r="BB496" i="5"/>
  <c r="BB419" i="5"/>
  <c r="BA419" i="5"/>
  <c r="BA435" i="5"/>
  <c r="BB435" i="5"/>
  <c r="BB233" i="5"/>
  <c r="BA233" i="5"/>
  <c r="BA372" i="5"/>
  <c r="BB372" i="5"/>
  <c r="BB554" i="5"/>
  <c r="BA554" i="5"/>
  <c r="BB454" i="5"/>
  <c r="BA454" i="5"/>
  <c r="BB532" i="5"/>
  <c r="BA532" i="5"/>
  <c r="BB286" i="5"/>
  <c r="BA286" i="5"/>
  <c r="BA293" i="5"/>
  <c r="BB293" i="5"/>
  <c r="BB215" i="5"/>
  <c r="BA215" i="5"/>
  <c r="BA37" i="5"/>
  <c r="BB37" i="5"/>
  <c r="BB448" i="5"/>
  <c r="BA448" i="5"/>
  <c r="BB488" i="5"/>
  <c r="BA488" i="5"/>
  <c r="BB429" i="5"/>
  <c r="BA429" i="5"/>
  <c r="BA368" i="5"/>
  <c r="BB368" i="5"/>
  <c r="BA245" i="5"/>
  <c r="BB245" i="5"/>
  <c r="BB440" i="5"/>
  <c r="BA440" i="5"/>
  <c r="BB335" i="5"/>
  <c r="BA335" i="5"/>
  <c r="BA62" i="5"/>
  <c r="BB62" i="5"/>
  <c r="BB450" i="5"/>
  <c r="BA450" i="5"/>
  <c r="BB551" i="5"/>
  <c r="BA551" i="5"/>
  <c r="BB540" i="5"/>
  <c r="BA540" i="5"/>
  <c r="BB556" i="5"/>
  <c r="BA556" i="5"/>
  <c r="BB500" i="5"/>
  <c r="BA500" i="5"/>
  <c r="BB463" i="5"/>
  <c r="BA463" i="5"/>
  <c r="BB347" i="5"/>
  <c r="BA347" i="5"/>
  <c r="BB467" i="5"/>
  <c r="BA467" i="5"/>
  <c r="BA325" i="5"/>
  <c r="BB325" i="5"/>
  <c r="BB459" i="5"/>
  <c r="BA459" i="5"/>
  <c r="BB395" i="5"/>
  <c r="BA395" i="5"/>
  <c r="BA292" i="5"/>
  <c r="BB292" i="5"/>
  <c r="BA392" i="5"/>
  <c r="BB392" i="5"/>
  <c r="BA334" i="5"/>
  <c r="BB334" i="5"/>
  <c r="BB409" i="5"/>
  <c r="BA409" i="5"/>
  <c r="BB310" i="5"/>
  <c r="BA310" i="5"/>
  <c r="BA193" i="5"/>
  <c r="BB193" i="5"/>
  <c r="BB143" i="5"/>
  <c r="BA143" i="5"/>
  <c r="BA99" i="5"/>
  <c r="BB99" i="5"/>
  <c r="BA46" i="5"/>
  <c r="BB46" i="5"/>
  <c r="BA547" i="5"/>
  <c r="BB547" i="5"/>
  <c r="BB538" i="5"/>
  <c r="BA538" i="5"/>
  <c r="BA521" i="5"/>
  <c r="BB521" i="5"/>
  <c r="BB530" i="5"/>
  <c r="BA530" i="5"/>
  <c r="BA492" i="5"/>
  <c r="BB492" i="5"/>
  <c r="BB444" i="5"/>
  <c r="BA444" i="5"/>
  <c r="BA512" i="5"/>
  <c r="BB512" i="5"/>
  <c r="BA446" i="5"/>
  <c r="BB446" i="5"/>
  <c r="BB525" i="5"/>
  <c r="BA525" i="5"/>
  <c r="BA422" i="5"/>
  <c r="BB422" i="5"/>
  <c r="BA371" i="5"/>
  <c r="BB371" i="5"/>
  <c r="BB267" i="5"/>
  <c r="BA267" i="5"/>
  <c r="BB380" i="5"/>
  <c r="BA380" i="5"/>
  <c r="BB252" i="5"/>
  <c r="BA252" i="5"/>
  <c r="BB367" i="5"/>
  <c r="BA367" i="5"/>
  <c r="BB192" i="5"/>
  <c r="BA192" i="5"/>
  <c r="BB228" i="5"/>
  <c r="BA228" i="5"/>
  <c r="BA167" i="5"/>
  <c r="BB167" i="5"/>
  <c r="BB93" i="5"/>
  <c r="BA93" i="5"/>
  <c r="BB483" i="5"/>
  <c r="BA483" i="5"/>
  <c r="BA424" i="5"/>
  <c r="BB424" i="5"/>
  <c r="BB553" i="5"/>
  <c r="BA553" i="5"/>
  <c r="BA297" i="5"/>
  <c r="BB297" i="5"/>
  <c r="BA503" i="5"/>
  <c r="BB503" i="5"/>
  <c r="BB469" i="5"/>
  <c r="BA469" i="5"/>
  <c r="BB381" i="5"/>
  <c r="BA381" i="5"/>
  <c r="BA470" i="5"/>
  <c r="BB470" i="5"/>
  <c r="BB391" i="5"/>
  <c r="BA391" i="5"/>
  <c r="BB471" i="5"/>
  <c r="BA471" i="5"/>
  <c r="BB400" i="5"/>
  <c r="BA400" i="5"/>
  <c r="BA336" i="5"/>
  <c r="BB336" i="5"/>
  <c r="BB402" i="5"/>
  <c r="BA402" i="5"/>
  <c r="BA350" i="5"/>
  <c r="BB350" i="5"/>
  <c r="BB414" i="5"/>
  <c r="BA414" i="5"/>
  <c r="BB330" i="5"/>
  <c r="BA330" i="5"/>
  <c r="BA271" i="5"/>
  <c r="BB271" i="5"/>
  <c r="BA187" i="5"/>
  <c r="BB187" i="5"/>
  <c r="BB151" i="5"/>
  <c r="BA151" i="5"/>
  <c r="BA67" i="5"/>
  <c r="BB67" i="5"/>
  <c r="BB559" i="5"/>
  <c r="BA559" i="5"/>
  <c r="BB544" i="5"/>
  <c r="BA544" i="5"/>
  <c r="BB529" i="5"/>
  <c r="BA529" i="5"/>
  <c r="BA545" i="5"/>
  <c r="BB545" i="5"/>
  <c r="BB494" i="5"/>
  <c r="BA494" i="5"/>
  <c r="BB453" i="5"/>
  <c r="BA453" i="5"/>
  <c r="BB516" i="5"/>
  <c r="BA516" i="5"/>
  <c r="BA461" i="5"/>
  <c r="BB461" i="5"/>
  <c r="BB531" i="5"/>
  <c r="BA531" i="5"/>
  <c r="BA452" i="5"/>
  <c r="BB452" i="5"/>
  <c r="BA378" i="5"/>
  <c r="BB378" i="5"/>
  <c r="BB280" i="5"/>
  <c r="BA280" i="5"/>
  <c r="BA386" i="5"/>
  <c r="BB386" i="5"/>
  <c r="BB277" i="5"/>
  <c r="BA277" i="5"/>
  <c r="BB383" i="5"/>
  <c r="BA383" i="5"/>
  <c r="BA257" i="5"/>
  <c r="BB257" i="5"/>
  <c r="BA186" i="5"/>
  <c r="BB186" i="5"/>
  <c r="BB153" i="5"/>
  <c r="BA153" i="5"/>
  <c r="BA96" i="5"/>
  <c r="BB96" i="5"/>
  <c r="BA25" i="5"/>
  <c r="BB25" i="5"/>
  <c r="AY364" i="5"/>
  <c r="AX364" i="5"/>
  <c r="AY511" i="5"/>
  <c r="AX511" i="5"/>
  <c r="AY438" i="5"/>
  <c r="AX438" i="5"/>
  <c r="AY530" i="5"/>
  <c r="AX530" i="5"/>
  <c r="AY514" i="5"/>
  <c r="AX514" i="5"/>
  <c r="AX558" i="5"/>
  <c r="AY558" i="5"/>
  <c r="AX510" i="5"/>
  <c r="AY510" i="5"/>
  <c r="AY523" i="5"/>
  <c r="AX523" i="5"/>
  <c r="AX303" i="5"/>
  <c r="AY303" i="5"/>
  <c r="AY447" i="5"/>
  <c r="AX447" i="5"/>
  <c r="AY421" i="5"/>
  <c r="AX421" i="5"/>
  <c r="BC454" i="5"/>
  <c r="AX454" i="5"/>
  <c r="AY454" i="5"/>
  <c r="AX403" i="5"/>
  <c r="AY403" i="5"/>
  <c r="AX497" i="5"/>
  <c r="AY497" i="5"/>
  <c r="BC497" i="5"/>
  <c r="AY547" i="5"/>
  <c r="AX547" i="5"/>
  <c r="AX417" i="5"/>
  <c r="AY417" i="5"/>
  <c r="AY512" i="5"/>
  <c r="AX512" i="5"/>
  <c r="AX264" i="5"/>
  <c r="AY264" i="5"/>
  <c r="AX344" i="5"/>
  <c r="AY344" i="5"/>
  <c r="AX267" i="5"/>
  <c r="AY267" i="5"/>
  <c r="AX232" i="5"/>
  <c r="AY232" i="5"/>
  <c r="AX142" i="5"/>
  <c r="AY142" i="5"/>
  <c r="AX86" i="5"/>
  <c r="AY86" i="5"/>
  <c r="AX94" i="5"/>
  <c r="AY94" i="5"/>
  <c r="AX27" i="5"/>
  <c r="AY27" i="5"/>
  <c r="AX389" i="5"/>
  <c r="AY389" i="5"/>
  <c r="AY260" i="5"/>
  <c r="AX260" i="5"/>
  <c r="AX284" i="5"/>
  <c r="AY284" i="5"/>
  <c r="AX175" i="5"/>
  <c r="AY175" i="5"/>
  <c r="AY151" i="5"/>
  <c r="AX151" i="5"/>
  <c r="AY103" i="5"/>
  <c r="AX103" i="5"/>
  <c r="AY66" i="5"/>
  <c r="AX66" i="5"/>
  <c r="AY384" i="5"/>
  <c r="AX384" i="5"/>
  <c r="AY316" i="5"/>
  <c r="AX316" i="5"/>
  <c r="AY230" i="5"/>
  <c r="AX230" i="5"/>
  <c r="AX172" i="5"/>
  <c r="AY172" i="5"/>
  <c r="AY173" i="5"/>
  <c r="AX173" i="5"/>
  <c r="AX64" i="5"/>
  <c r="AY64" i="5"/>
  <c r="AY97" i="5"/>
  <c r="AX97" i="5"/>
  <c r="AX60" i="5"/>
  <c r="AY60" i="5"/>
  <c r="AY61" i="5"/>
  <c r="AX61" i="5"/>
  <c r="AY21" i="5"/>
  <c r="AX21" i="5"/>
  <c r="AY22" i="5"/>
  <c r="AX22" i="5"/>
  <c r="AY427" i="5"/>
  <c r="AX427" i="5"/>
  <c r="AX370" i="5"/>
  <c r="AY370" i="5"/>
  <c r="AY297" i="5"/>
  <c r="AX297" i="5"/>
  <c r="AX280" i="5"/>
  <c r="AY280" i="5"/>
  <c r="AY329" i="5"/>
  <c r="AX329" i="5"/>
  <c r="AX253" i="5"/>
  <c r="AY253" i="5"/>
  <c r="AY216" i="5"/>
  <c r="AX216" i="5"/>
  <c r="AX231" i="5"/>
  <c r="AY231" i="5"/>
  <c r="AY214" i="5"/>
  <c r="AX214" i="5"/>
  <c r="AY188" i="5"/>
  <c r="AX188" i="5"/>
  <c r="AY176" i="5"/>
  <c r="AX176" i="5"/>
  <c r="AX131" i="5"/>
  <c r="AY131" i="5"/>
  <c r="AY141" i="5"/>
  <c r="AX141" i="5"/>
  <c r="AX135" i="5"/>
  <c r="AY135" i="5"/>
  <c r="AY95" i="5"/>
  <c r="AX95" i="5"/>
  <c r="AX70" i="5"/>
  <c r="AY70" i="5"/>
  <c r="AY65" i="5"/>
  <c r="AX65" i="5"/>
  <c r="AX34" i="5"/>
  <c r="AY34" i="5"/>
  <c r="AX33" i="5"/>
  <c r="AY33" i="5"/>
  <c r="BC264" i="5"/>
  <c r="BE264" i="5" s="1"/>
  <c r="BC21" i="5"/>
  <c r="BE21" i="5" s="1"/>
  <c r="AX407" i="5"/>
  <c r="AY407" i="5"/>
  <c r="AY529" i="5"/>
  <c r="AX529" i="5"/>
  <c r="AY471" i="5"/>
  <c r="AX471" i="5"/>
  <c r="AY560" i="5"/>
  <c r="AX560" i="5"/>
  <c r="AX414" i="5"/>
  <c r="AY414" i="5"/>
  <c r="AY453" i="5"/>
  <c r="AX453" i="5"/>
  <c r="AX531" i="5"/>
  <c r="AY531" i="5"/>
  <c r="AX456" i="5"/>
  <c r="AY456" i="5"/>
  <c r="AX495" i="5"/>
  <c r="AY495" i="5"/>
  <c r="AY274" i="5"/>
  <c r="AX274" i="5"/>
  <c r="AY404" i="5"/>
  <c r="AX404" i="5"/>
  <c r="AX481" i="5"/>
  <c r="AY481" i="5"/>
  <c r="AX372" i="5"/>
  <c r="AY372" i="5"/>
  <c r="AY360" i="5"/>
  <c r="AX360" i="5"/>
  <c r="AY548" i="5"/>
  <c r="AX548" i="5"/>
  <c r="BC548" i="5"/>
  <c r="AX550" i="5"/>
  <c r="AY550" i="5"/>
  <c r="AY542" i="5"/>
  <c r="AX542" i="5"/>
  <c r="AX464" i="5"/>
  <c r="AY464" i="5"/>
  <c r="AX411" i="5"/>
  <c r="AY411" i="5"/>
  <c r="AY502" i="5"/>
  <c r="AX502" i="5"/>
  <c r="AX449" i="5"/>
  <c r="AY449" i="5"/>
  <c r="BC449" i="5"/>
  <c r="AY506" i="5"/>
  <c r="AX506" i="5"/>
  <c r="AY446" i="5"/>
  <c r="AX446" i="5"/>
  <c r="AX396" i="5"/>
  <c r="AY396" i="5"/>
  <c r="AX420" i="5"/>
  <c r="AY420" i="5"/>
  <c r="AX342" i="5"/>
  <c r="AY342" i="5"/>
  <c r="AY557" i="5"/>
  <c r="AX557" i="5"/>
  <c r="AY554" i="5"/>
  <c r="AX554" i="5"/>
  <c r="AX549" i="5"/>
  <c r="AY549" i="5"/>
  <c r="AY540" i="5"/>
  <c r="AX540" i="5"/>
  <c r="AY460" i="5"/>
  <c r="AX460" i="5"/>
  <c r="AX402" i="5"/>
  <c r="AY402" i="5"/>
  <c r="AX499" i="5"/>
  <c r="AY499" i="5"/>
  <c r="AX443" i="5"/>
  <c r="AY443" i="5"/>
  <c r="AX505" i="5"/>
  <c r="AY505" i="5"/>
  <c r="AX444" i="5"/>
  <c r="AY444" i="5"/>
  <c r="AX391" i="5"/>
  <c r="AY391" i="5"/>
  <c r="AX415" i="5"/>
  <c r="AY415" i="5"/>
  <c r="AX336" i="5"/>
  <c r="AY336" i="5"/>
  <c r="AY555" i="5"/>
  <c r="AX555" i="5"/>
  <c r="AY551" i="5"/>
  <c r="AX551" i="5"/>
  <c r="AX532" i="5"/>
  <c r="AY532" i="5"/>
  <c r="AY538" i="5"/>
  <c r="AX538" i="5"/>
  <c r="AY458" i="5"/>
  <c r="AX458" i="5"/>
  <c r="AX393" i="5"/>
  <c r="AY393" i="5"/>
  <c r="AX494" i="5"/>
  <c r="AY494" i="5"/>
  <c r="AX441" i="5"/>
  <c r="AY441" i="5"/>
  <c r="AX500" i="5"/>
  <c r="AY500" i="5"/>
  <c r="AX440" i="5"/>
  <c r="AY440" i="5"/>
  <c r="AX387" i="5"/>
  <c r="AY387" i="5"/>
  <c r="AX406" i="5"/>
  <c r="AY406" i="5"/>
  <c r="AY318" i="5"/>
  <c r="AX318" i="5"/>
  <c r="AX379" i="5"/>
  <c r="AY379" i="5"/>
  <c r="AY307" i="5"/>
  <c r="AX307" i="5"/>
  <c r="AX308" i="5"/>
  <c r="AY308" i="5"/>
  <c r="AX250" i="5"/>
  <c r="AY250" i="5"/>
  <c r="AY293" i="5"/>
  <c r="AX293" i="5"/>
  <c r="AX177" i="5"/>
  <c r="AY177" i="5"/>
  <c r="AX269" i="5"/>
  <c r="AY269" i="5"/>
  <c r="AX223" i="5"/>
  <c r="AY223" i="5"/>
  <c r="AX239" i="5"/>
  <c r="AY239" i="5"/>
  <c r="AX222" i="5"/>
  <c r="AY222" i="5"/>
  <c r="AX200" i="5"/>
  <c r="AY200" i="5"/>
  <c r="AY186" i="5"/>
  <c r="AX186" i="5"/>
  <c r="AY144" i="5"/>
  <c r="AX144" i="5"/>
  <c r="AX153" i="5"/>
  <c r="AY153" i="5"/>
  <c r="AX149" i="5"/>
  <c r="AY149" i="5"/>
  <c r="AX100" i="5"/>
  <c r="AY100" i="5"/>
  <c r="AX78" i="5"/>
  <c r="AY78" i="5"/>
  <c r="AX79" i="5"/>
  <c r="AY79" i="5"/>
  <c r="BC79" i="5"/>
  <c r="AX55" i="5"/>
  <c r="AY55" i="5"/>
  <c r="AX44" i="5"/>
  <c r="AY44" i="5"/>
  <c r="AY434" i="5"/>
  <c r="AX434" i="5"/>
  <c r="AY377" i="5"/>
  <c r="AX377" i="5"/>
  <c r="AX296" i="5"/>
  <c r="AY296" i="5"/>
  <c r="AY304" i="5"/>
  <c r="AX304" i="5"/>
  <c r="AX245" i="5"/>
  <c r="AY245" i="5"/>
  <c r="AY287" i="5"/>
  <c r="AX287" i="5"/>
  <c r="AY331" i="5"/>
  <c r="AX331" i="5"/>
  <c r="BC331" i="5"/>
  <c r="AX262" i="5"/>
  <c r="AY262" i="5"/>
  <c r="AY220" i="5"/>
  <c r="AX220" i="5"/>
  <c r="AY237" i="5"/>
  <c r="AX237" i="5"/>
  <c r="AY219" i="5"/>
  <c r="AX219" i="5"/>
  <c r="AY196" i="5"/>
  <c r="AX196" i="5"/>
  <c r="AY185" i="5"/>
  <c r="AX185" i="5"/>
  <c r="AY140" i="5"/>
  <c r="AX140" i="5"/>
  <c r="AX145" i="5"/>
  <c r="AY145" i="5"/>
  <c r="AX146" i="5"/>
  <c r="AY146" i="5"/>
  <c r="AX98" i="5"/>
  <c r="AY98" i="5"/>
  <c r="AY82" i="5"/>
  <c r="AX82" i="5"/>
  <c r="AY75" i="5"/>
  <c r="AX75" i="5"/>
  <c r="AY53" i="5"/>
  <c r="AX53" i="5"/>
  <c r="AY41" i="5"/>
  <c r="AX41" i="5"/>
  <c r="AY8" i="5"/>
  <c r="AX8" i="5"/>
  <c r="AX371" i="5"/>
  <c r="AY371" i="5"/>
  <c r="AX281" i="5"/>
  <c r="AY281" i="5"/>
  <c r="AY299" i="5"/>
  <c r="AX299" i="5"/>
  <c r="AX221" i="5"/>
  <c r="AY221" i="5"/>
  <c r="AY283" i="5"/>
  <c r="AX283" i="5"/>
  <c r="AX330" i="5"/>
  <c r="AY330" i="5"/>
  <c r="AX256" i="5"/>
  <c r="AY256" i="5"/>
  <c r="AY218" i="5"/>
  <c r="AX218" i="5"/>
  <c r="AY234" i="5"/>
  <c r="AX234" i="5"/>
  <c r="AX217" i="5"/>
  <c r="AY217" i="5"/>
  <c r="AX191" i="5"/>
  <c r="AY191" i="5"/>
  <c r="AY180" i="5"/>
  <c r="AX180" i="5"/>
  <c r="AX133" i="5"/>
  <c r="AY133" i="5"/>
  <c r="AX143" i="5"/>
  <c r="AY143" i="5"/>
  <c r="AX138" i="5"/>
  <c r="AY138" i="5"/>
  <c r="AX96" i="5"/>
  <c r="AY96" i="5"/>
  <c r="AX72" i="5"/>
  <c r="AY72" i="5"/>
  <c r="AX71" i="5"/>
  <c r="AY71" i="5"/>
  <c r="AX51" i="5"/>
  <c r="AY51" i="5"/>
  <c r="AX38" i="5"/>
  <c r="AY38" i="5"/>
  <c r="AT13" i="5"/>
  <c r="AZ13" i="5"/>
  <c r="AW13" i="5"/>
  <c r="T13" i="5"/>
  <c r="AY413" i="5"/>
  <c r="AX413" i="5"/>
  <c r="AY357" i="5"/>
  <c r="AX357" i="5"/>
  <c r="AX347" i="5"/>
  <c r="AY347" i="5"/>
  <c r="AY282" i="5"/>
  <c r="AX282" i="5"/>
  <c r="AX322" i="5"/>
  <c r="AY322" i="5"/>
  <c r="AX263" i="5"/>
  <c r="AY263" i="5"/>
  <c r="AY310" i="5"/>
  <c r="AX310" i="5"/>
  <c r="AX233" i="5"/>
  <c r="AY233" i="5"/>
  <c r="AX198" i="5"/>
  <c r="AY198" i="5"/>
  <c r="AY197" i="5"/>
  <c r="AX197" i="5"/>
  <c r="AY195" i="5"/>
  <c r="AX195" i="5"/>
  <c r="AY170" i="5"/>
  <c r="AX170" i="5"/>
  <c r="AY164" i="5"/>
  <c r="AX164" i="5"/>
  <c r="AX114" i="5"/>
  <c r="AY114" i="5"/>
  <c r="AY130" i="5"/>
  <c r="AX130" i="5"/>
  <c r="AX120" i="5"/>
  <c r="AY120" i="5"/>
  <c r="AX84" i="5"/>
  <c r="AY84" i="5"/>
  <c r="AX83" i="5"/>
  <c r="AY83" i="5"/>
  <c r="AX54" i="5"/>
  <c r="AY54" i="5"/>
  <c r="AX45" i="5"/>
  <c r="AY45" i="5"/>
  <c r="AX48" i="5"/>
  <c r="AY48" i="5"/>
  <c r="BC282" i="5"/>
  <c r="AY513" i="5"/>
  <c r="AX513" i="5"/>
  <c r="AY474" i="5"/>
  <c r="AX474" i="5"/>
  <c r="AY536" i="5"/>
  <c r="AX536" i="5"/>
  <c r="AX266" i="5"/>
  <c r="AY266" i="5"/>
  <c r="AX462" i="5"/>
  <c r="AY462" i="5"/>
  <c r="AY422" i="5"/>
  <c r="AX422" i="5"/>
  <c r="AY467" i="5"/>
  <c r="AX467" i="5"/>
  <c r="AY507" i="5"/>
  <c r="AX507" i="5"/>
  <c r="AY552" i="5"/>
  <c r="AX552" i="5"/>
  <c r="AY519" i="5"/>
  <c r="AX519" i="5"/>
  <c r="AY300" i="5"/>
  <c r="AX300" i="5"/>
  <c r="AY556" i="5"/>
  <c r="AX556" i="5"/>
  <c r="AX508" i="5"/>
  <c r="AY508" i="5"/>
  <c r="AX401" i="5"/>
  <c r="AY401" i="5"/>
  <c r="AX390" i="5"/>
  <c r="AY390" i="5"/>
  <c r="AY309" i="5"/>
  <c r="AX309" i="5"/>
  <c r="AX181" i="5"/>
  <c r="AY181" i="5"/>
  <c r="AX179" i="5"/>
  <c r="AY179" i="5"/>
  <c r="AX106" i="5"/>
  <c r="AY106" i="5"/>
  <c r="AY28" i="5"/>
  <c r="AX28" i="5"/>
  <c r="AX319" i="5"/>
  <c r="AY319" i="5"/>
  <c r="AY248" i="5"/>
  <c r="AX248" i="5"/>
  <c r="AX235" i="5"/>
  <c r="AY235" i="5"/>
  <c r="AY80" i="5"/>
  <c r="AX80" i="5"/>
  <c r="AY93" i="5"/>
  <c r="AX93" i="5"/>
  <c r="AY23" i="5"/>
  <c r="AX23" i="5"/>
  <c r="AX258" i="5"/>
  <c r="AY258" i="5"/>
  <c r="AY227" i="5"/>
  <c r="AX227" i="5"/>
  <c r="AY207" i="5"/>
  <c r="AX207" i="5"/>
  <c r="AY246" i="5"/>
  <c r="AX246" i="5"/>
  <c r="AY261" i="5"/>
  <c r="AX261" i="5"/>
  <c r="AX491" i="5"/>
  <c r="AY491" i="5"/>
  <c r="AY424" i="5"/>
  <c r="AX424" i="5"/>
  <c r="AY559" i="5"/>
  <c r="AX559" i="5"/>
  <c r="AY503" i="5"/>
  <c r="AX503" i="5"/>
  <c r="AX397" i="5"/>
  <c r="AY397" i="5"/>
  <c r="AX546" i="5"/>
  <c r="AY546" i="5"/>
  <c r="AX375" i="5"/>
  <c r="AY375" i="5"/>
  <c r="AX430" i="5"/>
  <c r="AY430" i="5"/>
  <c r="AX19" i="5"/>
  <c r="AY19" i="5"/>
  <c r="AX526" i="5"/>
  <c r="AY526" i="5"/>
  <c r="AX373" i="5"/>
  <c r="AY373" i="5"/>
  <c r="AY388" i="5"/>
  <c r="AX388" i="5"/>
  <c r="AY525" i="5"/>
  <c r="AX525" i="5"/>
  <c r="AX541" i="5"/>
  <c r="AY541" i="5"/>
  <c r="AY459" i="5"/>
  <c r="AX459" i="5"/>
  <c r="AY534" i="5"/>
  <c r="AX534" i="5"/>
  <c r="AY448" i="5"/>
  <c r="AX448" i="5"/>
  <c r="AY351" i="5"/>
  <c r="AX351" i="5"/>
  <c r="AY489" i="5"/>
  <c r="AX489" i="5"/>
  <c r="AY436" i="5"/>
  <c r="AX436" i="5"/>
  <c r="AY492" i="5"/>
  <c r="AX492" i="5"/>
  <c r="BC492" i="5"/>
  <c r="AY429" i="5"/>
  <c r="AX429" i="5"/>
  <c r="BC429" i="5"/>
  <c r="AY382" i="5"/>
  <c r="AX382" i="5"/>
  <c r="AX398" i="5"/>
  <c r="AY398" i="5"/>
  <c r="AX439" i="5"/>
  <c r="AY439" i="5"/>
  <c r="AX515" i="5"/>
  <c r="AY515" i="5"/>
  <c r="AY539" i="5"/>
  <c r="AX539" i="5"/>
  <c r="AX452" i="5"/>
  <c r="AY452" i="5"/>
  <c r="AX533" i="5"/>
  <c r="AY533" i="5"/>
  <c r="AX445" i="5"/>
  <c r="AY445" i="5"/>
  <c r="AX339" i="5"/>
  <c r="AY339" i="5"/>
  <c r="AX488" i="5"/>
  <c r="AY488" i="5"/>
  <c r="AX431" i="5"/>
  <c r="AY431" i="5"/>
  <c r="AX484" i="5"/>
  <c r="AY484" i="5"/>
  <c r="AY428" i="5"/>
  <c r="AX428" i="5"/>
  <c r="AY381" i="5"/>
  <c r="AX381" i="5"/>
  <c r="AX395" i="5"/>
  <c r="AY395" i="5"/>
  <c r="AX432" i="5"/>
  <c r="AY432" i="5"/>
  <c r="AX504" i="5"/>
  <c r="AY504" i="5"/>
  <c r="AX535" i="5"/>
  <c r="AY535" i="5"/>
  <c r="AX423" i="5"/>
  <c r="AY423" i="5"/>
  <c r="AX527" i="5"/>
  <c r="AY527" i="5"/>
  <c r="AX442" i="5"/>
  <c r="AY442" i="5"/>
  <c r="AX335" i="5"/>
  <c r="AY335" i="5"/>
  <c r="AX487" i="5"/>
  <c r="AY487" i="5"/>
  <c r="AY418" i="5"/>
  <c r="AX418" i="5"/>
  <c r="AX482" i="5"/>
  <c r="AY482" i="5"/>
  <c r="AX385" i="5"/>
  <c r="AY385" i="5"/>
  <c r="AX376" i="5"/>
  <c r="AY376" i="5"/>
  <c r="AX394" i="5"/>
  <c r="AY394" i="5"/>
  <c r="AX426" i="5"/>
  <c r="AY426" i="5"/>
  <c r="AX365" i="5"/>
  <c r="AY365" i="5"/>
  <c r="AX212" i="5"/>
  <c r="AY212" i="5"/>
  <c r="AY292" i="5"/>
  <c r="AX292" i="5"/>
  <c r="AY190" i="5"/>
  <c r="AX190" i="5"/>
  <c r="AX275" i="5"/>
  <c r="AY275" i="5"/>
  <c r="AX326" i="5"/>
  <c r="AY326" i="5"/>
  <c r="AY247" i="5"/>
  <c r="AX247" i="5"/>
  <c r="AY209" i="5"/>
  <c r="AX209" i="5"/>
  <c r="AY215" i="5"/>
  <c r="AX215" i="5"/>
  <c r="AY210" i="5"/>
  <c r="AX210" i="5"/>
  <c r="AX184" i="5"/>
  <c r="AY184" i="5"/>
  <c r="AX174" i="5"/>
  <c r="AY174" i="5"/>
  <c r="AY129" i="5"/>
  <c r="AX129" i="5"/>
  <c r="AY136" i="5"/>
  <c r="AX136" i="5"/>
  <c r="AX128" i="5"/>
  <c r="AY128" i="5"/>
  <c r="BC128" i="5"/>
  <c r="AX92" i="5"/>
  <c r="AY92" i="5"/>
  <c r="AX67" i="5"/>
  <c r="AY67" i="5"/>
  <c r="AY62" i="5"/>
  <c r="AX62" i="5"/>
  <c r="AX69" i="5"/>
  <c r="AY69" i="5"/>
  <c r="AX30" i="5"/>
  <c r="AY30" i="5"/>
  <c r="AY419" i="5"/>
  <c r="AX419" i="5"/>
  <c r="AY363" i="5"/>
  <c r="AX363" i="5"/>
  <c r="AY355" i="5"/>
  <c r="AX355" i="5"/>
  <c r="BC355" i="5"/>
  <c r="AX289" i="5"/>
  <c r="AY289" i="5"/>
  <c r="AY332" i="5"/>
  <c r="AX332" i="5"/>
  <c r="AX268" i="5"/>
  <c r="AY268" i="5"/>
  <c r="AX321" i="5"/>
  <c r="AY321" i="5"/>
  <c r="AY243" i="5"/>
  <c r="AX243" i="5"/>
  <c r="AY206" i="5"/>
  <c r="AX206" i="5"/>
  <c r="AY202" i="5"/>
  <c r="AX202" i="5"/>
  <c r="AY204" i="5"/>
  <c r="AX204" i="5"/>
  <c r="AX182" i="5"/>
  <c r="AY182" i="5"/>
  <c r="AY168" i="5"/>
  <c r="AX168" i="5"/>
  <c r="AY123" i="5"/>
  <c r="AX123" i="5"/>
  <c r="AY134" i="5"/>
  <c r="AX134" i="5"/>
  <c r="AX126" i="5"/>
  <c r="AY126" i="5"/>
  <c r="AY90" i="5"/>
  <c r="AX90" i="5"/>
  <c r="AX91" i="5"/>
  <c r="AY91" i="5"/>
  <c r="AY57" i="5"/>
  <c r="AX57" i="5"/>
  <c r="AY63" i="5"/>
  <c r="AX63" i="5"/>
  <c r="AY29" i="5"/>
  <c r="AX29" i="5"/>
  <c r="AY416" i="5"/>
  <c r="AX416" i="5"/>
  <c r="AY359" i="5"/>
  <c r="AX359" i="5"/>
  <c r="AX353" i="5"/>
  <c r="AY353" i="5"/>
  <c r="AX286" i="5"/>
  <c r="AY286" i="5"/>
  <c r="AX324" i="5"/>
  <c r="AY324" i="5"/>
  <c r="AX265" i="5"/>
  <c r="AY265" i="5"/>
  <c r="AX317" i="5"/>
  <c r="AY317" i="5"/>
  <c r="AY236" i="5"/>
  <c r="AX236" i="5"/>
  <c r="AX201" i="5"/>
  <c r="AY201" i="5"/>
  <c r="AY199" i="5"/>
  <c r="AX199" i="5"/>
  <c r="AY203" i="5"/>
  <c r="AX203" i="5"/>
  <c r="AY171" i="5"/>
  <c r="AX171" i="5"/>
  <c r="AY166" i="5"/>
  <c r="AX166" i="5"/>
  <c r="AX121" i="5"/>
  <c r="AY121" i="5"/>
  <c r="AY132" i="5"/>
  <c r="AX132" i="5"/>
  <c r="AY125" i="5"/>
  <c r="AX125" i="5"/>
  <c r="AX89" i="5"/>
  <c r="AY89" i="5"/>
  <c r="AX88" i="5"/>
  <c r="AY88" i="5"/>
  <c r="AY56" i="5"/>
  <c r="AX56" i="5"/>
  <c r="AX52" i="5"/>
  <c r="AY52" i="5"/>
  <c r="AY20" i="5"/>
  <c r="AX20" i="5"/>
  <c r="AY341" i="5"/>
  <c r="AX341" i="5"/>
  <c r="AX392" i="5"/>
  <c r="AY392" i="5"/>
  <c r="AY345" i="5"/>
  <c r="AX345" i="5"/>
  <c r="AY328" i="5"/>
  <c r="AX328" i="5"/>
  <c r="AX270" i="5"/>
  <c r="AY270" i="5"/>
  <c r="AY312" i="5"/>
  <c r="AX312" i="5"/>
  <c r="AY251" i="5"/>
  <c r="AX251" i="5"/>
  <c r="AY294" i="5"/>
  <c r="AX294" i="5"/>
  <c r="AX241" i="5"/>
  <c r="AY241" i="5"/>
  <c r="AX187" i="5"/>
  <c r="AY187" i="5"/>
  <c r="AX240" i="5"/>
  <c r="AY240" i="5"/>
  <c r="AY148" i="5"/>
  <c r="AX148" i="5"/>
  <c r="AX183" i="5"/>
  <c r="AY183" i="5"/>
  <c r="AX155" i="5"/>
  <c r="AY155" i="5"/>
  <c r="AX102" i="5"/>
  <c r="AY102" i="5"/>
  <c r="AX115" i="5"/>
  <c r="AY115" i="5"/>
  <c r="AX111" i="5"/>
  <c r="AY111" i="5"/>
  <c r="AX99" i="5"/>
  <c r="AY99" i="5"/>
  <c r="AX58" i="5"/>
  <c r="AY58" i="5"/>
  <c r="AY36" i="5"/>
  <c r="AX36" i="5"/>
  <c r="AY32" i="5"/>
  <c r="AX32" i="5"/>
  <c r="AX26" i="5"/>
  <c r="AY26" i="5"/>
  <c r="AX323" i="5"/>
  <c r="AY323" i="5"/>
  <c r="AX472" i="5"/>
  <c r="AY472" i="5"/>
  <c r="AX348" i="5"/>
  <c r="AY348" i="5"/>
  <c r="AX400" i="5"/>
  <c r="AY400" i="5"/>
  <c r="AY352" i="5"/>
  <c r="AX352" i="5"/>
  <c r="AY457" i="5"/>
  <c r="AX457" i="5"/>
  <c r="AY490" i="5"/>
  <c r="AX490" i="5"/>
  <c r="BC490" i="5"/>
  <c r="AY455" i="5"/>
  <c r="AX455" i="5"/>
  <c r="BC455" i="5"/>
  <c r="AY405" i="5"/>
  <c r="AX405" i="5"/>
  <c r="BC405" i="5"/>
  <c r="AY358" i="5"/>
  <c r="AX358" i="5"/>
  <c r="AX369" i="5"/>
  <c r="AY369" i="5"/>
  <c r="AX485" i="5"/>
  <c r="AY485" i="5"/>
  <c r="AX509" i="5"/>
  <c r="AY509" i="5"/>
  <c r="AX465" i="5"/>
  <c r="AY465" i="5"/>
  <c r="AY354" i="5"/>
  <c r="AX354" i="5"/>
  <c r="AX383" i="5"/>
  <c r="AY383" i="5"/>
  <c r="AX483" i="5"/>
  <c r="AY483" i="5"/>
  <c r="AX451" i="5"/>
  <c r="AY451" i="5"/>
  <c r="AX461" i="5"/>
  <c r="AY461" i="5"/>
  <c r="AY349" i="5"/>
  <c r="AX349" i="5"/>
  <c r="AX325" i="5"/>
  <c r="AY325" i="5"/>
  <c r="AY249" i="5"/>
  <c r="AX249" i="5"/>
  <c r="AY290" i="5"/>
  <c r="AX290" i="5"/>
  <c r="AY238" i="5"/>
  <c r="AX238" i="5"/>
  <c r="AY154" i="5"/>
  <c r="AX154" i="5"/>
  <c r="AX87" i="5"/>
  <c r="AY87" i="5"/>
  <c r="AX77" i="5"/>
  <c r="AY77" i="5"/>
  <c r="BC77" i="5"/>
  <c r="AY25" i="5"/>
  <c r="AX25" i="5"/>
  <c r="AY337" i="5"/>
  <c r="AX337" i="5"/>
  <c r="AX306" i="5"/>
  <c r="AY306" i="5"/>
  <c r="AY229" i="5"/>
  <c r="AX229" i="5"/>
  <c r="AY124" i="5"/>
  <c r="AX124" i="5"/>
  <c r="AX178" i="5"/>
  <c r="AY178" i="5"/>
  <c r="AY161" i="5"/>
  <c r="AX161" i="5"/>
  <c r="AY76" i="5"/>
  <c r="AX76" i="5"/>
  <c r="AY24" i="5"/>
  <c r="AX24" i="5"/>
  <c r="AY327" i="5"/>
  <c r="AX327" i="5"/>
  <c r="AX301" i="5"/>
  <c r="AY301" i="5"/>
  <c r="AY278" i="5"/>
  <c r="AX278" i="5"/>
  <c r="AY228" i="5"/>
  <c r="AX228" i="5"/>
  <c r="AY150" i="5"/>
  <c r="AX150" i="5"/>
  <c r="AY158" i="5"/>
  <c r="AX158" i="5"/>
  <c r="AY85" i="5"/>
  <c r="AX85" i="5"/>
  <c r="AX213" i="5"/>
  <c r="AY213" i="5"/>
  <c r="AX468" i="5"/>
  <c r="AY468" i="5"/>
  <c r="AY463" i="5"/>
  <c r="AX463" i="5"/>
  <c r="BC463" i="5"/>
  <c r="AX537" i="5"/>
  <c r="AY537" i="5"/>
  <c r="AY470" i="5"/>
  <c r="AX470" i="5"/>
  <c r="AY544" i="5"/>
  <c r="AX544" i="5"/>
  <c r="AY450" i="5"/>
  <c r="AX450" i="5"/>
  <c r="AX259" i="5"/>
  <c r="AY259" i="5"/>
  <c r="BC259" i="5"/>
  <c r="AX524" i="5"/>
  <c r="AY524" i="5"/>
  <c r="AY493" i="5"/>
  <c r="AX493" i="5"/>
  <c r="AX386" i="5"/>
  <c r="AY386" i="5"/>
  <c r="AY498" i="5"/>
  <c r="AX498" i="5"/>
  <c r="AY437" i="5"/>
  <c r="AX437" i="5"/>
  <c r="AX480" i="5"/>
  <c r="AY480" i="5"/>
  <c r="AY553" i="5"/>
  <c r="AX553" i="5"/>
  <c r="AX486" i="5"/>
  <c r="AY486" i="5"/>
  <c r="AY528" i="5"/>
  <c r="AX528" i="5"/>
  <c r="AY291" i="5"/>
  <c r="AX291" i="5"/>
  <c r="AX517" i="5"/>
  <c r="AY517" i="5"/>
  <c r="AX435" i="5"/>
  <c r="AY435" i="5"/>
  <c r="AX521" i="5"/>
  <c r="AY521" i="5"/>
  <c r="AY473" i="5"/>
  <c r="AX473" i="5"/>
  <c r="AX367" i="5"/>
  <c r="AY367" i="5"/>
  <c r="AX479" i="5"/>
  <c r="AY479" i="5"/>
  <c r="AY338" i="5"/>
  <c r="AX338" i="5"/>
  <c r="AX368" i="5"/>
  <c r="AY368" i="5"/>
  <c r="AX378" i="5"/>
  <c r="AY378" i="5"/>
  <c r="AY545" i="5"/>
  <c r="AX545" i="5"/>
  <c r="AY478" i="5"/>
  <c r="AX478" i="5"/>
  <c r="AX522" i="5"/>
  <c r="AY522" i="5"/>
  <c r="AX285" i="5"/>
  <c r="AY285" i="5"/>
  <c r="AY501" i="5"/>
  <c r="AX501" i="5"/>
  <c r="AY433" i="5"/>
  <c r="AX433" i="5"/>
  <c r="AY520" i="5"/>
  <c r="AX520" i="5"/>
  <c r="AY469" i="5"/>
  <c r="AX469" i="5"/>
  <c r="AX361" i="5"/>
  <c r="AY361" i="5"/>
  <c r="AY477" i="5"/>
  <c r="AX477" i="5"/>
  <c r="AY410" i="5"/>
  <c r="AX410" i="5"/>
  <c r="AY362" i="5"/>
  <c r="AX362" i="5"/>
  <c r="AX374" i="5"/>
  <c r="AY374" i="5"/>
  <c r="AY543" i="5"/>
  <c r="AX543" i="5"/>
  <c r="AY475" i="5"/>
  <c r="AX475" i="5"/>
  <c r="AX516" i="5"/>
  <c r="AY516" i="5"/>
  <c r="AY279" i="5"/>
  <c r="AX279" i="5"/>
  <c r="AY496" i="5"/>
  <c r="AX496" i="5"/>
  <c r="AX425" i="5"/>
  <c r="AY425" i="5"/>
  <c r="AY518" i="5"/>
  <c r="AX518" i="5"/>
  <c r="AX466" i="5"/>
  <c r="AY466" i="5"/>
  <c r="AY288" i="5"/>
  <c r="AX288" i="5"/>
  <c r="AX476" i="5"/>
  <c r="AY476" i="5"/>
  <c r="AX409" i="5"/>
  <c r="AY409" i="5"/>
  <c r="AY343" i="5"/>
  <c r="AX343" i="5"/>
  <c r="BC343" i="5"/>
  <c r="AX366" i="5"/>
  <c r="AY366" i="5"/>
  <c r="AX412" i="5"/>
  <c r="AY412" i="5"/>
  <c r="AX356" i="5"/>
  <c r="AY356" i="5"/>
  <c r="AX340" i="5"/>
  <c r="AY340" i="5"/>
  <c r="AX277" i="5"/>
  <c r="AY277" i="5"/>
  <c r="AY320" i="5"/>
  <c r="AX320" i="5"/>
  <c r="AY257" i="5"/>
  <c r="AX257" i="5"/>
  <c r="AY305" i="5"/>
  <c r="AX305" i="5"/>
  <c r="AX211" i="5"/>
  <c r="AY211" i="5"/>
  <c r="AX193" i="5"/>
  <c r="AY193" i="5"/>
  <c r="AX167" i="5"/>
  <c r="AY167" i="5"/>
  <c r="AX194" i="5"/>
  <c r="AY194" i="5"/>
  <c r="AX165" i="5"/>
  <c r="AY165" i="5"/>
  <c r="AX159" i="5"/>
  <c r="AY159" i="5"/>
  <c r="AX110" i="5"/>
  <c r="AY110" i="5"/>
  <c r="AX127" i="5"/>
  <c r="AY127" i="5"/>
  <c r="AX118" i="5"/>
  <c r="AY118" i="5"/>
  <c r="AX109" i="5"/>
  <c r="AY109" i="5"/>
  <c r="AX74" i="5"/>
  <c r="AY74" i="5"/>
  <c r="AX50" i="5"/>
  <c r="AY50" i="5"/>
  <c r="AX42" i="5"/>
  <c r="AY42" i="5"/>
  <c r="AX43" i="5"/>
  <c r="AY43" i="5"/>
  <c r="AX408" i="5"/>
  <c r="AY408" i="5"/>
  <c r="AX350" i="5"/>
  <c r="AY350" i="5"/>
  <c r="AY334" i="5"/>
  <c r="AX334" i="5"/>
  <c r="AY276" i="5"/>
  <c r="AX276" i="5"/>
  <c r="AX315" i="5"/>
  <c r="AY315" i="5"/>
  <c r="AY255" i="5"/>
  <c r="AX255" i="5"/>
  <c r="AX302" i="5"/>
  <c r="AY302" i="5"/>
  <c r="AX208" i="5"/>
  <c r="AY208" i="5"/>
  <c r="AX192" i="5"/>
  <c r="AY192" i="5"/>
  <c r="AX244" i="5"/>
  <c r="AY244" i="5"/>
  <c r="AX162" i="5"/>
  <c r="AY162" i="5"/>
  <c r="AY137" i="5"/>
  <c r="AX137" i="5"/>
  <c r="AX139" i="5"/>
  <c r="AY139" i="5"/>
  <c r="AX108" i="5"/>
  <c r="AY108" i="5"/>
  <c r="AY122" i="5"/>
  <c r="AX122" i="5"/>
  <c r="AY117" i="5"/>
  <c r="AX117" i="5"/>
  <c r="AY104" i="5"/>
  <c r="AX104" i="5"/>
  <c r="BC104" i="5"/>
  <c r="AY73" i="5"/>
  <c r="AX73" i="5"/>
  <c r="AY49" i="5"/>
  <c r="AX49" i="5"/>
  <c r="AY39" i="5"/>
  <c r="AX39" i="5"/>
  <c r="AX37" i="5"/>
  <c r="AY37" i="5"/>
  <c r="AX399" i="5"/>
  <c r="AY399" i="5"/>
  <c r="AX346" i="5"/>
  <c r="AY346" i="5"/>
  <c r="AX333" i="5"/>
  <c r="AY333" i="5"/>
  <c r="AY273" i="5"/>
  <c r="AX273" i="5"/>
  <c r="AY314" i="5"/>
  <c r="AX314" i="5"/>
  <c r="AX254" i="5"/>
  <c r="AY254" i="5"/>
  <c r="AY298" i="5"/>
  <c r="AX298" i="5"/>
  <c r="AY163" i="5"/>
  <c r="AX163" i="5"/>
  <c r="AX189" i="5"/>
  <c r="AY189" i="5"/>
  <c r="AX242" i="5"/>
  <c r="AY242" i="5"/>
  <c r="AY160" i="5"/>
  <c r="AX160" i="5"/>
  <c r="AY119" i="5"/>
  <c r="AX119" i="5"/>
  <c r="AX113" i="5"/>
  <c r="AY113" i="5"/>
  <c r="AY105" i="5"/>
  <c r="AX105" i="5"/>
  <c r="AX116" i="5"/>
  <c r="AY116" i="5"/>
  <c r="AX112" i="5"/>
  <c r="AY112" i="5"/>
  <c r="AY101" i="5"/>
  <c r="AX101" i="5"/>
  <c r="AY68" i="5"/>
  <c r="AX68" i="5"/>
  <c r="AX47" i="5"/>
  <c r="AY47" i="5"/>
  <c r="AX35" i="5"/>
  <c r="AY35" i="5"/>
  <c r="AX31" i="5"/>
  <c r="AY31" i="5"/>
  <c r="AX271" i="5"/>
  <c r="AY271" i="5"/>
  <c r="AX380" i="5"/>
  <c r="AY380" i="5"/>
  <c r="AX313" i="5"/>
  <c r="AY313" i="5"/>
  <c r="AY311" i="5"/>
  <c r="AX311" i="5"/>
  <c r="AY252" i="5"/>
  <c r="AX252" i="5"/>
  <c r="AY295" i="5"/>
  <c r="AX295" i="5"/>
  <c r="AX225" i="5"/>
  <c r="AY225" i="5"/>
  <c r="AX272" i="5"/>
  <c r="AY272" i="5"/>
  <c r="AY224" i="5"/>
  <c r="AX224" i="5"/>
  <c r="AX169" i="5"/>
  <c r="AY169" i="5"/>
  <c r="AX226" i="5"/>
  <c r="AY226" i="5"/>
  <c r="AY205" i="5"/>
  <c r="AX205" i="5"/>
  <c r="AX156" i="5"/>
  <c r="AY156" i="5"/>
  <c r="AY147" i="5"/>
  <c r="AX147" i="5"/>
  <c r="AY157" i="5"/>
  <c r="AX157" i="5"/>
  <c r="AX152" i="5"/>
  <c r="AY152" i="5"/>
  <c r="AY107" i="5"/>
  <c r="AX107" i="5"/>
  <c r="AY81" i="5"/>
  <c r="AX81" i="5"/>
  <c r="AY40" i="5"/>
  <c r="AX40" i="5"/>
  <c r="AY59" i="5"/>
  <c r="AX59" i="5"/>
  <c r="AY46" i="5"/>
  <c r="AX46" i="5"/>
  <c r="BC303" i="5"/>
  <c r="BC123" i="5"/>
  <c r="AL165" i="5"/>
  <c r="AL153" i="5"/>
  <c r="AK156" i="5"/>
  <c r="AK49" i="5"/>
  <c r="AK28" i="5"/>
  <c r="AK13" i="5"/>
  <c r="AL13" i="5"/>
  <c r="BA12" i="5"/>
  <c r="BB12" i="5"/>
  <c r="AL516" i="5"/>
  <c r="AK516" i="5"/>
  <c r="AL290" i="5"/>
  <c r="AK290" i="5"/>
  <c r="AL243" i="5"/>
  <c r="AK243" i="5"/>
  <c r="AL374" i="5"/>
  <c r="AK374" i="5"/>
  <c r="AK151" i="5"/>
  <c r="AL151" i="5"/>
  <c r="AL152" i="5"/>
  <c r="AK152" i="5"/>
  <c r="AK65" i="5"/>
  <c r="AL65" i="5"/>
  <c r="AK489" i="5"/>
  <c r="AL489" i="5"/>
  <c r="AK515" i="5"/>
  <c r="AL515" i="5"/>
  <c r="AL377" i="5"/>
  <c r="AK377" i="5"/>
  <c r="AL134" i="5"/>
  <c r="AK134" i="5"/>
  <c r="AL342" i="5"/>
  <c r="AK342" i="5"/>
  <c r="AK463" i="5"/>
  <c r="AL463" i="5"/>
  <c r="AL323" i="5"/>
  <c r="AK323" i="5"/>
  <c r="AK281" i="5"/>
  <c r="AL281" i="5"/>
  <c r="AK163" i="5"/>
  <c r="AL163" i="5"/>
  <c r="AL175" i="5"/>
  <c r="AK175" i="5"/>
  <c r="AL474" i="5"/>
  <c r="AK474" i="5"/>
  <c r="AL466" i="5"/>
  <c r="AK466" i="5"/>
  <c r="AK400" i="5"/>
  <c r="AL400" i="5"/>
  <c r="AK453" i="5"/>
  <c r="AL453" i="5"/>
  <c r="AL546" i="5"/>
  <c r="AK546" i="5"/>
  <c r="AL413" i="5"/>
  <c r="AK413" i="5"/>
  <c r="AK491" i="5"/>
  <c r="AL491" i="5"/>
  <c r="AK258" i="5"/>
  <c r="AL258" i="5"/>
  <c r="AL300" i="5"/>
  <c r="AK300" i="5"/>
  <c r="AK196" i="5"/>
  <c r="AL196" i="5"/>
  <c r="AK359" i="5"/>
  <c r="AL359" i="5"/>
  <c r="AK206" i="5"/>
  <c r="AL206" i="5"/>
  <c r="AK207" i="5"/>
  <c r="AL207" i="5"/>
  <c r="AL467" i="5"/>
  <c r="AK467" i="5"/>
  <c r="AK385" i="5"/>
  <c r="AL385" i="5"/>
  <c r="AK462" i="5"/>
  <c r="AL462" i="5"/>
  <c r="AL244" i="5"/>
  <c r="AK244" i="5"/>
  <c r="AL160" i="5"/>
  <c r="AK160" i="5"/>
  <c r="AL495" i="5"/>
  <c r="AK495" i="5"/>
  <c r="AK501" i="5"/>
  <c r="AL501" i="5"/>
  <c r="AK267" i="5"/>
  <c r="AL267" i="5"/>
  <c r="AL217" i="5"/>
  <c r="AK217" i="5"/>
  <c r="AK63" i="5"/>
  <c r="AL63" i="5"/>
  <c r="AK465" i="5"/>
  <c r="AL465" i="5"/>
  <c r="AK531" i="5"/>
  <c r="AL531" i="5"/>
  <c r="AL337" i="5"/>
  <c r="AK337" i="5"/>
  <c r="AK21" i="5"/>
  <c r="AL21" i="5"/>
  <c r="AL114" i="5"/>
  <c r="AK114" i="5"/>
  <c r="AL420" i="5"/>
  <c r="AK420" i="5"/>
  <c r="AK481" i="5"/>
  <c r="AL481" i="5"/>
  <c r="AK279" i="5"/>
  <c r="AL279" i="5"/>
  <c r="AK37" i="5"/>
  <c r="AL37" i="5"/>
  <c r="AL430" i="5"/>
  <c r="AK430" i="5"/>
  <c r="AK346" i="5"/>
  <c r="AL346" i="5"/>
  <c r="AK423" i="5"/>
  <c r="AL423" i="5"/>
  <c r="AL177" i="5"/>
  <c r="AK177" i="5"/>
  <c r="AK92" i="5"/>
  <c r="AL92" i="5"/>
  <c r="AL102" i="5"/>
  <c r="AK102" i="5"/>
  <c r="AL140" i="5"/>
  <c r="AK140" i="5"/>
  <c r="AL112" i="5"/>
  <c r="AK112" i="5"/>
  <c r="AL484" i="5"/>
  <c r="AK484" i="5"/>
  <c r="AK556" i="5"/>
  <c r="AL556" i="5"/>
  <c r="AL412" i="5"/>
  <c r="AK412" i="5"/>
  <c r="AK558" i="5"/>
  <c r="AL558" i="5"/>
  <c r="AK370" i="5"/>
  <c r="AL370" i="5"/>
  <c r="AK553" i="5"/>
  <c r="AL553" i="5"/>
  <c r="AL476" i="5"/>
  <c r="AK476" i="5"/>
  <c r="AL552" i="5"/>
  <c r="AK552" i="5"/>
  <c r="AL443" i="5"/>
  <c r="AK443" i="5"/>
  <c r="AK425" i="5"/>
  <c r="AL425" i="5"/>
  <c r="AL245" i="5"/>
  <c r="AK245" i="5"/>
  <c r="AL313" i="5"/>
  <c r="AK313" i="5"/>
  <c r="AK224" i="5"/>
  <c r="AL224" i="5"/>
  <c r="AK25" i="5"/>
  <c r="AL25" i="5"/>
  <c r="AL171" i="5"/>
  <c r="AK171" i="5"/>
  <c r="AK159" i="5"/>
  <c r="AL159" i="5"/>
  <c r="AL120" i="5"/>
  <c r="AK120" i="5"/>
  <c r="AK201" i="5"/>
  <c r="AL201" i="5"/>
  <c r="AL455" i="5"/>
  <c r="AK455" i="5"/>
  <c r="AK452" i="5"/>
  <c r="AL452" i="5"/>
  <c r="AK410" i="5"/>
  <c r="AL410" i="5"/>
  <c r="AK422" i="5"/>
  <c r="AL422" i="5"/>
  <c r="AK503" i="5"/>
  <c r="AL503" i="5"/>
  <c r="AK352" i="5"/>
  <c r="AL352" i="5"/>
  <c r="AL470" i="5"/>
  <c r="AK470" i="5"/>
  <c r="AK257" i="5"/>
  <c r="AL257" i="5"/>
  <c r="AL322" i="5"/>
  <c r="AK322" i="5"/>
  <c r="AK363" i="5"/>
  <c r="AL363" i="5"/>
  <c r="AK142" i="5"/>
  <c r="AL142" i="5"/>
  <c r="AL211" i="5"/>
  <c r="AK211" i="5"/>
  <c r="AK32" i="5"/>
  <c r="AL32" i="5"/>
  <c r="AK110" i="5"/>
  <c r="AL110" i="5"/>
  <c r="AL85" i="5"/>
  <c r="AK85" i="5"/>
  <c r="AK86" i="5"/>
  <c r="AL86" i="5"/>
  <c r="AK554" i="5"/>
  <c r="AL554" i="5"/>
  <c r="AK111" i="5"/>
  <c r="AL111" i="5"/>
  <c r="AL428" i="5"/>
  <c r="AK428" i="5"/>
  <c r="AL436" i="5"/>
  <c r="AK436" i="5"/>
  <c r="AK402" i="5"/>
  <c r="AL402" i="5"/>
  <c r="AK406" i="5"/>
  <c r="AL406" i="5"/>
  <c r="AK490" i="5"/>
  <c r="AL490" i="5"/>
  <c r="AK327" i="5"/>
  <c r="AL327" i="5"/>
  <c r="AL456" i="5"/>
  <c r="AK456" i="5"/>
  <c r="AK135" i="5"/>
  <c r="AL135" i="5"/>
  <c r="AK310" i="5"/>
  <c r="AL310" i="5"/>
  <c r="AK347" i="5"/>
  <c r="AL347" i="5"/>
  <c r="AL39" i="5"/>
  <c r="AK39" i="5"/>
  <c r="AK197" i="5"/>
  <c r="AL197" i="5"/>
  <c r="AK368" i="5"/>
  <c r="AL368" i="5"/>
  <c r="AK538" i="5"/>
  <c r="AL538" i="5"/>
  <c r="AK477" i="5"/>
  <c r="AL477" i="5"/>
  <c r="AK415" i="5"/>
  <c r="AL415" i="5"/>
  <c r="AL266" i="5"/>
  <c r="AK266" i="5"/>
  <c r="AK395" i="5"/>
  <c r="AL395" i="5"/>
  <c r="AK331" i="5"/>
  <c r="AL331" i="5"/>
  <c r="AK213" i="5"/>
  <c r="AL213" i="5"/>
  <c r="AL527" i="5"/>
  <c r="AK527" i="5"/>
  <c r="AL475" i="5"/>
  <c r="AK475" i="5"/>
  <c r="AK367" i="5"/>
  <c r="AL367" i="5"/>
  <c r="AK287" i="5"/>
  <c r="AL287" i="5"/>
  <c r="AL305" i="5"/>
  <c r="AK305" i="5"/>
  <c r="AL250" i="5"/>
  <c r="AK250" i="5"/>
  <c r="AL178" i="5"/>
  <c r="AK178" i="5"/>
  <c r="AK214" i="5"/>
  <c r="AL214" i="5"/>
  <c r="AK99" i="5"/>
  <c r="AL99" i="5"/>
  <c r="AL284" i="5"/>
  <c r="AK284" i="5"/>
  <c r="AL215" i="5"/>
  <c r="AK215" i="5"/>
  <c r="AL170" i="5"/>
  <c r="AK170" i="5"/>
  <c r="AK50" i="5"/>
  <c r="AL50" i="5"/>
  <c r="AL306" i="5"/>
  <c r="AK306" i="5"/>
  <c r="AK23" i="5"/>
  <c r="AL23" i="5"/>
  <c r="AL511" i="5"/>
  <c r="AK511" i="5"/>
  <c r="AK398" i="5"/>
  <c r="AL398" i="5"/>
  <c r="AK343" i="5"/>
  <c r="AL343" i="5"/>
  <c r="AL227" i="5"/>
  <c r="AK227" i="5"/>
  <c r="AL278" i="5"/>
  <c r="AK278" i="5"/>
  <c r="AL234" i="5"/>
  <c r="AK234" i="5"/>
  <c r="AK30" i="5"/>
  <c r="AL30" i="5"/>
  <c r="AK190" i="5"/>
  <c r="AL190" i="5"/>
  <c r="AL326" i="5"/>
  <c r="AK326" i="5"/>
  <c r="AK259" i="5"/>
  <c r="AL259" i="5"/>
  <c r="AK189" i="5"/>
  <c r="AL189" i="5"/>
  <c r="AK133" i="5"/>
  <c r="AL133" i="5"/>
  <c r="AK157" i="5"/>
  <c r="AL157" i="5"/>
  <c r="AK209" i="5"/>
  <c r="AL209" i="5"/>
  <c r="AK514" i="5"/>
  <c r="AL514" i="5"/>
  <c r="AL451" i="5"/>
  <c r="AK451" i="5"/>
  <c r="AL389" i="5"/>
  <c r="AK389" i="5"/>
  <c r="AL433" i="5"/>
  <c r="AK433" i="5"/>
  <c r="AL365" i="5"/>
  <c r="AK365" i="5"/>
  <c r="AL301" i="5"/>
  <c r="AK301" i="5"/>
  <c r="AL559" i="5"/>
  <c r="AK559" i="5"/>
  <c r="AK509" i="5"/>
  <c r="AL509" i="5"/>
  <c r="AK396" i="5"/>
  <c r="AL396" i="5"/>
  <c r="AK339" i="5"/>
  <c r="AL339" i="5"/>
  <c r="AK194" i="5"/>
  <c r="AL194" i="5"/>
  <c r="AL276" i="5"/>
  <c r="AK276" i="5"/>
  <c r="AL231" i="5"/>
  <c r="AK231" i="5"/>
  <c r="AK20" i="5"/>
  <c r="AL20" i="5"/>
  <c r="AK186" i="5"/>
  <c r="AL186" i="5"/>
  <c r="AK319" i="5"/>
  <c r="AL319" i="5"/>
  <c r="AK255" i="5"/>
  <c r="AL255" i="5"/>
  <c r="AK185" i="5"/>
  <c r="AL185" i="5"/>
  <c r="AK129" i="5"/>
  <c r="AL129" i="5"/>
  <c r="AK141" i="5"/>
  <c r="AL141" i="5"/>
  <c r="AL38" i="5"/>
  <c r="AK38" i="5"/>
  <c r="AK358" i="5"/>
  <c r="AL358" i="5"/>
  <c r="AL448" i="5"/>
  <c r="AK448" i="5"/>
  <c r="AL69" i="5"/>
  <c r="AK69" i="5"/>
  <c r="AK103" i="5"/>
  <c r="AL103" i="5"/>
  <c r="AK505" i="5"/>
  <c r="AL505" i="5"/>
  <c r="AL26" i="5"/>
  <c r="AK26" i="5"/>
  <c r="AK122" i="5"/>
  <c r="AL122" i="5"/>
  <c r="AL460" i="5"/>
  <c r="AK460" i="5"/>
  <c r="AL440" i="5"/>
  <c r="AK440" i="5"/>
  <c r="AL472" i="5"/>
  <c r="AK472" i="5"/>
  <c r="AK328" i="5"/>
  <c r="AL328" i="5"/>
  <c r="AK226" i="5"/>
  <c r="AL226" i="5"/>
  <c r="AL81" i="5"/>
  <c r="AK81" i="5"/>
  <c r="AK285" i="5"/>
  <c r="AL285" i="5"/>
  <c r="AL479" i="5"/>
  <c r="AK479" i="5"/>
  <c r="AL502" i="5"/>
  <c r="AK502" i="5"/>
  <c r="AL469" i="5"/>
  <c r="AK469" i="5"/>
  <c r="AK53" i="5"/>
  <c r="AL53" i="5"/>
  <c r="AK488" i="5"/>
  <c r="AL488" i="5"/>
  <c r="AK341" i="5"/>
  <c r="AL341" i="5"/>
  <c r="AK265" i="5"/>
  <c r="AL265" i="5"/>
  <c r="AL493" i="5"/>
  <c r="AK493" i="5"/>
  <c r="AK298" i="5"/>
  <c r="AL298" i="5"/>
  <c r="AL249" i="5"/>
  <c r="AK249" i="5"/>
  <c r="AL379" i="5"/>
  <c r="AK379" i="5"/>
  <c r="AK320" i="5"/>
  <c r="AL320" i="5"/>
  <c r="AL229" i="5"/>
  <c r="AK229" i="5"/>
  <c r="AK228" i="5"/>
  <c r="AL228" i="5"/>
  <c r="AK82" i="5"/>
  <c r="AL82" i="5"/>
  <c r="AL464" i="5"/>
  <c r="AK464" i="5"/>
  <c r="AL294" i="5"/>
  <c r="AK294" i="5"/>
  <c r="AK76" i="5"/>
  <c r="AL76" i="5"/>
  <c r="AL275" i="5"/>
  <c r="AK275" i="5"/>
  <c r="AK34" i="5"/>
  <c r="AL34" i="5"/>
  <c r="AL530" i="5"/>
  <c r="AK530" i="5"/>
  <c r="AK253" i="5"/>
  <c r="AL253" i="5"/>
  <c r="AK127" i="5"/>
  <c r="AL127" i="5"/>
  <c r="AL355" i="5"/>
  <c r="AK355" i="5"/>
  <c r="AK292" i="5"/>
  <c r="AL292" i="5"/>
  <c r="AL202" i="5"/>
  <c r="AK202" i="5"/>
  <c r="AK270" i="5"/>
  <c r="AL270" i="5"/>
  <c r="AK29" i="5"/>
  <c r="AL29" i="5"/>
  <c r="AL68" i="5"/>
  <c r="AK68" i="5"/>
  <c r="AL369" i="5"/>
  <c r="AK369" i="5"/>
  <c r="AK155" i="5"/>
  <c r="AL155" i="5"/>
  <c r="AL48" i="5"/>
  <c r="AK48" i="5"/>
  <c r="AL391" i="5"/>
  <c r="AK391" i="5"/>
  <c r="AK94" i="5"/>
  <c r="AL94" i="5"/>
  <c r="AK557" i="5"/>
  <c r="AL557" i="5"/>
  <c r="AK384" i="5"/>
  <c r="AL384" i="5"/>
  <c r="AK390" i="5"/>
  <c r="AL390" i="5"/>
  <c r="AL96" i="5"/>
  <c r="AK96" i="5"/>
  <c r="AK47" i="5"/>
  <c r="AL47" i="5"/>
  <c r="AK382" i="5"/>
  <c r="AL382" i="5"/>
  <c r="AK295" i="5"/>
  <c r="AL295" i="5"/>
  <c r="AL330" i="5"/>
  <c r="AK330" i="5"/>
  <c r="AK118" i="5"/>
  <c r="AL118" i="5"/>
  <c r="AK522" i="5"/>
  <c r="AL522" i="5"/>
  <c r="AK537" i="5"/>
  <c r="AL537" i="5"/>
  <c r="AK405" i="5"/>
  <c r="AL405" i="5"/>
  <c r="AK113" i="5"/>
  <c r="AL113" i="5"/>
  <c r="AK35" i="5"/>
  <c r="AL35" i="5"/>
  <c r="AK126" i="5"/>
  <c r="AL126" i="5"/>
  <c r="AL8" i="5"/>
  <c r="AK8" i="5"/>
  <c r="AL54" i="5"/>
  <c r="AK54" i="5"/>
  <c r="AK414" i="5"/>
  <c r="AL414" i="5"/>
  <c r="AK518" i="5"/>
  <c r="AL518" i="5"/>
  <c r="AK364" i="5"/>
  <c r="AL364" i="5"/>
  <c r="AK482" i="5"/>
  <c r="AL482" i="5"/>
  <c r="AK338" i="5"/>
  <c r="AL338" i="5"/>
  <c r="AK521" i="5"/>
  <c r="AL521" i="5"/>
  <c r="AK445" i="5"/>
  <c r="AL445" i="5"/>
  <c r="AK536" i="5"/>
  <c r="AL536" i="5"/>
  <c r="AK411" i="5"/>
  <c r="AL411" i="5"/>
  <c r="AK392" i="5"/>
  <c r="AL392" i="5"/>
  <c r="AL535" i="5"/>
  <c r="AK535" i="5"/>
  <c r="AL316" i="5"/>
  <c r="AK316" i="5"/>
  <c r="AL123" i="5"/>
  <c r="AK123" i="5"/>
  <c r="AL80" i="5"/>
  <c r="AK80" i="5"/>
  <c r="AK106" i="5"/>
  <c r="AL106" i="5"/>
  <c r="AL70" i="5"/>
  <c r="AK70" i="5"/>
  <c r="AK457" i="5"/>
  <c r="AL457" i="5"/>
  <c r="AK534" i="5"/>
  <c r="AL534" i="5"/>
  <c r="AK404" i="5"/>
  <c r="AL404" i="5"/>
  <c r="AL545" i="5"/>
  <c r="AK545" i="5"/>
  <c r="AL362" i="5"/>
  <c r="AK362" i="5"/>
  <c r="AK549" i="5"/>
  <c r="AL549" i="5"/>
  <c r="AL471" i="5"/>
  <c r="AK471" i="5"/>
  <c r="AK550" i="5"/>
  <c r="AL550" i="5"/>
  <c r="AL439" i="5"/>
  <c r="AK439" i="5"/>
  <c r="AL421" i="5"/>
  <c r="AK421" i="5"/>
  <c r="AK205" i="5"/>
  <c r="AL205" i="5"/>
  <c r="AK282" i="5"/>
  <c r="AL282" i="5"/>
  <c r="AK210" i="5"/>
  <c r="AL210" i="5"/>
  <c r="AL168" i="5"/>
  <c r="AK168" i="5"/>
  <c r="AK79" i="5"/>
  <c r="AL79" i="5"/>
  <c r="AK191" i="5"/>
  <c r="AL191" i="5"/>
  <c r="AL124" i="5"/>
  <c r="AK124" i="5"/>
  <c r="AK31" i="5"/>
  <c r="AL31" i="5"/>
  <c r="AK444" i="5"/>
  <c r="AL444" i="5"/>
  <c r="AL526" i="5"/>
  <c r="AK526" i="5"/>
  <c r="AL380" i="5"/>
  <c r="AK380" i="5"/>
  <c r="AK528" i="5"/>
  <c r="AL528" i="5"/>
  <c r="AL354" i="5"/>
  <c r="AK354" i="5"/>
  <c r="AL541" i="5"/>
  <c r="AK541" i="5"/>
  <c r="AL458" i="5"/>
  <c r="AK458" i="5"/>
  <c r="AK544" i="5"/>
  <c r="AL544" i="5"/>
  <c r="AK427" i="5"/>
  <c r="AL427" i="5"/>
  <c r="AL409" i="5"/>
  <c r="AK409" i="5"/>
  <c r="AK60" i="5"/>
  <c r="AL60" i="5"/>
  <c r="AK237" i="5"/>
  <c r="AL237" i="5"/>
  <c r="AK192" i="5"/>
  <c r="AL192" i="5"/>
  <c r="AL150" i="5"/>
  <c r="AK150" i="5"/>
  <c r="AL336" i="5"/>
  <c r="AK336" i="5"/>
  <c r="AK524" i="5"/>
  <c r="AL524" i="5"/>
  <c r="AL461" i="5"/>
  <c r="AK461" i="5"/>
  <c r="AL399" i="5"/>
  <c r="AK399" i="5"/>
  <c r="AK232" i="5"/>
  <c r="AL232" i="5"/>
  <c r="AK381" i="5"/>
  <c r="AL381" i="5"/>
  <c r="AL314" i="5"/>
  <c r="AK314" i="5"/>
  <c r="AL95" i="5"/>
  <c r="AK95" i="5"/>
  <c r="AL517" i="5"/>
  <c r="AK517" i="5"/>
  <c r="AL459" i="5"/>
  <c r="AK459" i="5"/>
  <c r="AL351" i="5"/>
  <c r="AK351" i="5"/>
  <c r="AK247" i="5"/>
  <c r="AL247" i="5"/>
  <c r="AL289" i="5"/>
  <c r="AK289" i="5"/>
  <c r="AK241" i="5"/>
  <c r="AL241" i="5"/>
  <c r="AK57" i="5"/>
  <c r="AL57" i="5"/>
  <c r="AL198" i="5"/>
  <c r="AK198" i="5"/>
  <c r="AL46" i="5"/>
  <c r="AK46" i="5"/>
  <c r="AL268" i="5"/>
  <c r="AK268" i="5"/>
  <c r="AL199" i="5"/>
  <c r="AK199" i="5"/>
  <c r="AL154" i="5"/>
  <c r="AK154" i="5"/>
  <c r="AK173" i="5"/>
  <c r="AL173" i="5"/>
  <c r="AK274" i="5"/>
  <c r="AL274" i="5"/>
  <c r="AK547" i="5"/>
  <c r="AL547" i="5"/>
  <c r="AK496" i="5"/>
  <c r="AL496" i="5"/>
  <c r="AK388" i="5"/>
  <c r="AL388" i="5"/>
  <c r="AK325" i="5"/>
  <c r="AL325" i="5"/>
  <c r="AK119" i="5"/>
  <c r="AL119" i="5"/>
  <c r="AL262" i="5"/>
  <c r="AK262" i="5"/>
  <c r="AK216" i="5"/>
  <c r="AL216" i="5"/>
  <c r="AK238" i="5"/>
  <c r="AL238" i="5"/>
  <c r="AL148" i="5"/>
  <c r="AK148" i="5"/>
  <c r="AL307" i="5"/>
  <c r="AK307" i="5"/>
  <c r="AK239" i="5"/>
  <c r="AL239" i="5"/>
  <c r="AK89" i="5"/>
  <c r="AL89" i="5"/>
  <c r="AK101" i="5"/>
  <c r="AL101" i="5"/>
  <c r="AK59" i="5"/>
  <c r="AL59" i="5"/>
  <c r="AK548" i="5"/>
  <c r="AL548" i="5"/>
  <c r="AK499" i="5"/>
  <c r="AL499" i="5"/>
  <c r="AL435" i="5"/>
  <c r="AK435" i="5"/>
  <c r="AK303" i="5"/>
  <c r="AL303" i="5"/>
  <c r="AL417" i="5"/>
  <c r="AK417" i="5"/>
  <c r="AK349" i="5"/>
  <c r="AL349" i="5"/>
  <c r="AL269" i="5"/>
  <c r="AK269" i="5"/>
  <c r="AK543" i="5"/>
  <c r="AL543" i="5"/>
  <c r="AK494" i="5"/>
  <c r="AL494" i="5"/>
  <c r="AL383" i="5"/>
  <c r="AK383" i="5"/>
  <c r="AK321" i="5"/>
  <c r="AL321" i="5"/>
  <c r="AK324" i="5"/>
  <c r="AL324" i="5"/>
  <c r="AK260" i="5"/>
  <c r="AL260" i="5"/>
  <c r="AL212" i="5"/>
  <c r="AK212" i="5"/>
  <c r="AK235" i="5"/>
  <c r="AL235" i="5"/>
  <c r="AL139" i="5"/>
  <c r="AK139" i="5"/>
  <c r="AK302" i="5"/>
  <c r="AL302" i="5"/>
  <c r="AL233" i="5"/>
  <c r="AK233" i="5"/>
  <c r="AL62" i="5"/>
  <c r="AK62" i="5"/>
  <c r="AK97" i="5"/>
  <c r="AL97" i="5"/>
  <c r="AK33" i="5"/>
  <c r="AL33" i="5"/>
  <c r="AL432" i="5"/>
  <c r="AK432" i="5"/>
  <c r="AK88" i="5"/>
  <c r="AL88" i="5"/>
  <c r="AK280" i="5"/>
  <c r="AL280" i="5"/>
  <c r="AK19" i="5"/>
  <c r="AL19" i="5"/>
  <c r="AK137" i="5"/>
  <c r="AL137" i="5"/>
  <c r="AK542" i="5"/>
  <c r="AL542" i="5"/>
  <c r="AK74" i="5"/>
  <c r="AL74" i="5"/>
  <c r="AK149" i="5"/>
  <c r="AL149" i="5"/>
  <c r="AK272" i="5"/>
  <c r="AL272" i="5"/>
  <c r="AK418" i="5"/>
  <c r="AL418" i="5"/>
  <c r="AK360" i="5"/>
  <c r="AL360" i="5"/>
  <c r="AK261" i="5"/>
  <c r="AL261" i="5"/>
  <c r="AK204" i="5"/>
  <c r="AL204" i="5"/>
  <c r="AK116" i="5"/>
  <c r="AL116" i="5"/>
  <c r="AK487" i="5"/>
  <c r="AL487" i="5"/>
  <c r="AL438" i="5"/>
  <c r="AK438" i="5"/>
  <c r="AL416" i="5"/>
  <c r="AK416" i="5"/>
  <c r="AK353" i="5"/>
  <c r="AL353" i="5"/>
  <c r="AK248" i="5"/>
  <c r="AL248" i="5"/>
  <c r="AK42" i="5"/>
  <c r="AL42" i="5"/>
  <c r="AK22" i="5"/>
  <c r="AL22" i="5"/>
  <c r="AL334" i="5"/>
  <c r="AK334" i="5"/>
  <c r="AL78" i="5"/>
  <c r="AK78" i="5"/>
  <c r="AL434" i="5"/>
  <c r="AK434" i="5"/>
  <c r="AL560" i="5"/>
  <c r="AK560" i="5"/>
  <c r="AL293" i="5"/>
  <c r="AK293" i="5"/>
  <c r="AL236" i="5"/>
  <c r="AK236" i="5"/>
  <c r="AK408" i="5"/>
  <c r="AL408" i="5"/>
  <c r="AL431" i="5"/>
  <c r="AK431" i="5"/>
  <c r="AK345" i="5"/>
  <c r="AL345" i="5"/>
  <c r="AK539" i="5"/>
  <c r="AL539" i="5"/>
  <c r="AK317" i="5"/>
  <c r="AL317" i="5"/>
  <c r="AL208" i="5"/>
  <c r="AK208" i="5"/>
  <c r="AL131" i="5"/>
  <c r="AK131" i="5"/>
  <c r="AL52" i="5"/>
  <c r="AK52" i="5"/>
  <c r="AK523" i="5"/>
  <c r="AL523" i="5"/>
  <c r="AK277" i="5"/>
  <c r="AL277" i="5"/>
  <c r="AL246" i="5"/>
  <c r="AK246" i="5"/>
  <c r="AL73" i="5"/>
  <c r="AK73" i="5"/>
  <c r="AL162" i="5"/>
  <c r="AK162" i="5"/>
  <c r="AL344" i="5"/>
  <c r="AK344" i="5"/>
  <c r="AL403" i="5"/>
  <c r="AK403" i="5"/>
  <c r="AL318" i="5"/>
  <c r="AK318" i="5"/>
  <c r="AK519" i="5"/>
  <c r="AL519" i="5"/>
  <c r="AL264" i="5"/>
  <c r="AK264" i="5"/>
  <c r="AL67" i="5"/>
  <c r="AK67" i="5"/>
  <c r="AL55" i="5"/>
  <c r="AK55" i="5"/>
  <c r="AK203" i="5"/>
  <c r="AL203" i="5"/>
  <c r="AL497" i="5"/>
  <c r="AK497" i="5"/>
  <c r="AK340" i="5"/>
  <c r="AL340" i="5"/>
  <c r="AL446" i="5"/>
  <c r="AK446" i="5"/>
  <c r="AK183" i="5"/>
  <c r="AL183" i="5"/>
  <c r="AK311" i="5"/>
  <c r="AL311" i="5"/>
  <c r="AL145" i="5"/>
  <c r="AK145" i="5"/>
  <c r="AK426" i="5"/>
  <c r="AL426" i="5"/>
  <c r="AL486" i="5"/>
  <c r="AK486" i="5"/>
  <c r="AK220" i="5"/>
  <c r="AL220" i="5"/>
  <c r="AK58" i="5"/>
  <c r="AL58" i="5"/>
  <c r="AK498" i="5"/>
  <c r="AL498" i="5"/>
  <c r="AK386" i="5"/>
  <c r="AL386" i="5"/>
  <c r="AL454" i="5"/>
  <c r="AK454" i="5"/>
  <c r="AK240" i="5"/>
  <c r="AL240" i="5"/>
  <c r="AL167" i="5"/>
  <c r="AK167" i="5"/>
  <c r="AL372" i="5"/>
  <c r="AK372" i="5"/>
  <c r="AK449" i="5"/>
  <c r="AL449" i="5"/>
  <c r="AL551" i="5"/>
  <c r="AK551" i="5"/>
  <c r="AK72" i="5"/>
  <c r="AL72" i="5"/>
  <c r="AK51" i="5"/>
  <c r="AL51" i="5"/>
  <c r="AK90" i="5"/>
  <c r="AL90" i="5"/>
  <c r="AK108" i="5"/>
  <c r="AL108" i="5"/>
  <c r="AL128" i="5"/>
  <c r="AK128" i="5"/>
  <c r="AK350" i="5"/>
  <c r="AL350" i="5"/>
  <c r="AL492" i="5"/>
  <c r="AK492" i="5"/>
  <c r="AK304" i="5"/>
  <c r="AL304" i="5"/>
  <c r="AK442" i="5"/>
  <c r="AL442" i="5"/>
  <c r="AK41" i="5"/>
  <c r="AL41" i="5"/>
  <c r="AK473" i="5"/>
  <c r="AL473" i="5"/>
  <c r="AL424" i="5"/>
  <c r="AK424" i="5"/>
  <c r="AL504" i="5"/>
  <c r="AK504" i="5"/>
  <c r="AL332" i="5"/>
  <c r="AK332" i="5"/>
  <c r="AL357" i="5"/>
  <c r="AK357" i="5"/>
  <c r="AK485" i="5"/>
  <c r="AL485" i="5"/>
  <c r="AL256" i="5"/>
  <c r="AK256" i="5"/>
  <c r="AL297" i="5"/>
  <c r="AK297" i="5"/>
  <c r="AK98" i="5"/>
  <c r="AL98" i="5"/>
  <c r="AL104" i="5"/>
  <c r="AK104" i="5"/>
  <c r="AL187" i="5"/>
  <c r="AK187" i="5"/>
  <c r="AK397" i="5"/>
  <c r="AL397" i="5"/>
  <c r="AL510" i="5"/>
  <c r="AK510" i="5"/>
  <c r="AK356" i="5"/>
  <c r="AL356" i="5"/>
  <c r="AL468" i="5"/>
  <c r="AK468" i="5"/>
  <c r="AL329" i="5"/>
  <c r="AK329" i="5"/>
  <c r="AK512" i="5"/>
  <c r="AL512" i="5"/>
  <c r="AK441" i="5"/>
  <c r="AL441" i="5"/>
  <c r="AL532" i="5"/>
  <c r="AK532" i="5"/>
  <c r="AK407" i="5"/>
  <c r="AL407" i="5"/>
  <c r="AK387" i="5"/>
  <c r="AL387" i="5"/>
  <c r="AK525" i="5"/>
  <c r="AL525" i="5"/>
  <c r="AL299" i="5"/>
  <c r="AK299" i="5"/>
  <c r="AK83" i="5"/>
  <c r="AL83" i="5"/>
  <c r="AK45" i="5"/>
  <c r="AL45" i="5"/>
  <c r="AL100" i="5"/>
  <c r="AK100" i="5"/>
  <c r="AL130" i="5"/>
  <c r="AK130" i="5"/>
  <c r="AK132" i="5"/>
  <c r="AL132" i="5"/>
  <c r="AK136" i="5"/>
  <c r="AL136" i="5"/>
  <c r="AK366" i="5"/>
  <c r="AL366" i="5"/>
  <c r="AK506" i="5"/>
  <c r="AL506" i="5"/>
  <c r="AK348" i="5"/>
  <c r="AL348" i="5"/>
  <c r="AK450" i="5"/>
  <c r="AL450" i="5"/>
  <c r="AK263" i="5"/>
  <c r="AL263" i="5"/>
  <c r="AL500" i="5"/>
  <c r="AK500" i="5"/>
  <c r="AK437" i="5"/>
  <c r="AL437" i="5"/>
  <c r="AL520" i="5"/>
  <c r="AK520" i="5"/>
  <c r="AL393" i="5"/>
  <c r="AK393" i="5"/>
  <c r="AL373" i="5"/>
  <c r="AK373" i="5"/>
  <c r="AK513" i="5"/>
  <c r="AL513" i="5"/>
  <c r="AL283" i="5"/>
  <c r="AK283" i="5"/>
  <c r="AK36" i="5"/>
  <c r="AL36" i="5"/>
  <c r="AK161" i="5"/>
  <c r="AL161" i="5"/>
  <c r="AL144" i="5"/>
  <c r="AK144" i="5"/>
  <c r="AL508" i="5"/>
  <c r="AK508" i="5"/>
  <c r="AK447" i="5"/>
  <c r="AL447" i="5"/>
  <c r="AK378" i="5"/>
  <c r="AL378" i="5"/>
  <c r="AK429" i="5"/>
  <c r="AL429" i="5"/>
  <c r="AL361" i="5"/>
  <c r="AK361" i="5"/>
  <c r="AK288" i="5"/>
  <c r="AL288" i="5"/>
  <c r="AL555" i="5"/>
  <c r="AK555" i="5"/>
  <c r="AK507" i="5"/>
  <c r="AL507" i="5"/>
  <c r="AK394" i="5"/>
  <c r="AL394" i="5"/>
  <c r="AK335" i="5"/>
  <c r="AL335" i="5"/>
  <c r="AK179" i="5"/>
  <c r="AL179" i="5"/>
  <c r="AK273" i="5"/>
  <c r="AL273" i="5"/>
  <c r="AK225" i="5"/>
  <c r="AL225" i="5"/>
  <c r="AK242" i="5"/>
  <c r="AL242" i="5"/>
  <c r="AK182" i="5"/>
  <c r="AL182" i="5"/>
  <c r="AL315" i="5"/>
  <c r="AK315" i="5"/>
  <c r="AK251" i="5"/>
  <c r="AL251" i="5"/>
  <c r="AK181" i="5"/>
  <c r="AL181" i="5"/>
  <c r="AK117" i="5"/>
  <c r="AL117" i="5"/>
  <c r="AK91" i="5"/>
  <c r="AL91" i="5"/>
  <c r="AK230" i="5"/>
  <c r="AL230" i="5"/>
  <c r="AK533" i="5"/>
  <c r="AL533" i="5"/>
  <c r="AL480" i="5"/>
  <c r="AK480" i="5"/>
  <c r="AL375" i="5"/>
  <c r="AK375" i="5"/>
  <c r="AL309" i="5"/>
  <c r="AK309" i="5"/>
  <c r="AL312" i="5"/>
  <c r="AK312" i="5"/>
  <c r="AL254" i="5"/>
  <c r="AK254" i="5"/>
  <c r="AK200" i="5"/>
  <c r="AL200" i="5"/>
  <c r="AK222" i="5"/>
  <c r="AL222" i="5"/>
  <c r="AK115" i="5"/>
  <c r="AL115" i="5"/>
  <c r="AK291" i="5"/>
  <c r="AL291" i="5"/>
  <c r="AL223" i="5"/>
  <c r="AK223" i="5"/>
  <c r="AK180" i="5"/>
  <c r="AL180" i="5"/>
  <c r="AK66" i="5"/>
  <c r="AL66" i="5"/>
  <c r="AL376" i="5"/>
  <c r="AK376" i="5"/>
  <c r="AL540" i="5"/>
  <c r="AK540" i="5"/>
  <c r="AL483" i="5"/>
  <c r="AK483" i="5"/>
  <c r="AK419" i="5"/>
  <c r="AL419" i="5"/>
  <c r="AL271" i="5"/>
  <c r="AK271" i="5"/>
  <c r="AK401" i="5"/>
  <c r="AL401" i="5"/>
  <c r="AL333" i="5"/>
  <c r="AK333" i="5"/>
  <c r="AK221" i="5"/>
  <c r="AL221" i="5"/>
  <c r="AK529" i="5"/>
  <c r="AL529" i="5"/>
  <c r="AL478" i="5"/>
  <c r="AK478" i="5"/>
  <c r="AK371" i="5"/>
  <c r="AL371" i="5"/>
  <c r="AK296" i="5"/>
  <c r="AL296" i="5"/>
  <c r="AL308" i="5"/>
  <c r="AK308" i="5"/>
  <c r="AL252" i="5"/>
  <c r="AK252" i="5"/>
  <c r="AK193" i="5"/>
  <c r="AL193" i="5"/>
  <c r="AK218" i="5"/>
  <c r="AL218" i="5"/>
  <c r="AK107" i="5"/>
  <c r="AL107" i="5"/>
  <c r="AL286" i="5"/>
  <c r="AK286" i="5"/>
  <c r="AL219" i="5"/>
  <c r="AK219" i="5"/>
  <c r="AL176" i="5"/>
  <c r="AK176" i="5"/>
  <c r="AL64" i="5"/>
  <c r="AK64" i="5"/>
  <c r="B47" i="2"/>
  <c r="B42" i="5" s="1"/>
  <c r="H20" i="1"/>
  <c r="G21" i="1"/>
  <c r="I23" i="1"/>
  <c r="I22" i="1"/>
  <c r="K25" i="2"/>
  <c r="BD222" i="5" l="1"/>
  <c r="AL12" i="5"/>
  <c r="BD287" i="5"/>
  <c r="AU12" i="5"/>
  <c r="V12" i="5"/>
  <c r="AY12" i="5"/>
  <c r="BE55" i="5"/>
  <c r="BE237" i="5"/>
  <c r="BC12" i="5"/>
  <c r="BE12" i="5" s="1"/>
  <c r="BE127" i="5"/>
  <c r="BD98" i="5"/>
  <c r="BD100" i="5"/>
  <c r="BE7" i="5"/>
  <c r="BE48" i="5"/>
  <c r="BE114" i="5"/>
  <c r="BD78" i="5"/>
  <c r="BD35" i="5"/>
  <c r="BE53" i="5"/>
  <c r="BD59" i="5"/>
  <c r="BE198" i="5"/>
  <c r="BE133" i="5"/>
  <c r="BD86" i="5"/>
  <c r="BE82" i="5"/>
  <c r="BE195" i="5"/>
  <c r="BE462" i="5"/>
  <c r="BD214" i="5"/>
  <c r="BD264" i="5"/>
  <c r="BD560" i="5"/>
  <c r="BE22" i="5"/>
  <c r="BE144" i="5"/>
  <c r="BE219" i="5"/>
  <c r="BE45" i="5"/>
  <c r="BE316" i="5"/>
  <c r="BE83" i="5"/>
  <c r="BD269" i="5"/>
  <c r="BD180" i="5"/>
  <c r="BE38" i="5"/>
  <c r="BE51" i="5"/>
  <c r="BE537" i="5"/>
  <c r="BD130" i="5"/>
  <c r="BD164" i="5"/>
  <c r="BD315" i="5"/>
  <c r="BD305" i="5"/>
  <c r="BD262" i="5"/>
  <c r="BE299" i="5"/>
  <c r="BE27" i="5"/>
  <c r="BD64" i="5"/>
  <c r="BE44" i="5"/>
  <c r="BE283" i="5"/>
  <c r="BD112" i="5"/>
  <c r="BD223" i="5"/>
  <c r="BE41" i="5"/>
  <c r="BD191" i="5"/>
  <c r="BE296" i="5"/>
  <c r="BE8" i="5"/>
  <c r="BD352" i="5"/>
  <c r="BE230" i="5"/>
  <c r="BE156" i="5"/>
  <c r="BD156" i="5"/>
  <c r="BE208" i="5"/>
  <c r="BD208" i="5"/>
  <c r="BE103" i="5"/>
  <c r="BE246" i="5"/>
  <c r="BE533" i="5"/>
  <c r="BD263" i="5"/>
  <c r="BE68" i="5"/>
  <c r="BD68" i="5"/>
  <c r="BE476" i="5"/>
  <c r="BD476" i="5"/>
  <c r="BE81" i="5"/>
  <c r="BD81" i="5"/>
  <c r="BE31" i="5"/>
  <c r="BD31" i="5"/>
  <c r="BE290" i="5"/>
  <c r="BD290" i="5"/>
  <c r="BD295" i="5"/>
  <c r="BE295" i="5"/>
  <c r="BD346" i="5"/>
  <c r="BE346" i="5"/>
  <c r="BE235" i="5"/>
  <c r="BD235" i="5"/>
  <c r="BD284" i="5"/>
  <c r="BE284" i="5"/>
  <c r="BE559" i="5"/>
  <c r="BD559" i="5"/>
  <c r="BD183" i="5"/>
  <c r="BE183" i="5"/>
  <c r="BD159" i="5"/>
  <c r="BE159" i="5"/>
  <c r="BE119" i="5"/>
  <c r="BD158" i="5"/>
  <c r="BE453" i="5"/>
  <c r="BD66" i="5"/>
  <c r="BD369" i="5"/>
  <c r="BE306" i="5"/>
  <c r="BE236" i="5"/>
  <c r="BD470" i="5"/>
  <c r="BD387" i="5"/>
  <c r="BE387" i="5"/>
  <c r="BD487" i="5"/>
  <c r="BE487" i="5"/>
  <c r="BD209" i="5"/>
  <c r="BE209" i="5"/>
  <c r="BE298" i="5"/>
  <c r="BD298" i="5"/>
  <c r="BD437" i="5"/>
  <c r="BE437" i="5"/>
  <c r="BD213" i="5"/>
  <c r="BE213" i="5"/>
  <c r="BD206" i="5"/>
  <c r="BE206" i="5"/>
  <c r="BE211" i="5"/>
  <c r="BD211" i="5"/>
  <c r="BD152" i="5"/>
  <c r="BE152" i="5"/>
  <c r="BE225" i="5"/>
  <c r="BD225" i="5"/>
  <c r="BD101" i="5"/>
  <c r="BE101" i="5"/>
  <c r="BE273" i="5"/>
  <c r="BD273" i="5"/>
  <c r="BD360" i="5"/>
  <c r="BE360" i="5"/>
  <c r="BE92" i="5"/>
  <c r="BD92" i="5"/>
  <c r="BE52" i="5"/>
  <c r="BD52" i="5"/>
  <c r="BE189" i="5"/>
  <c r="BD189" i="5"/>
  <c r="BE30" i="5"/>
  <c r="BD30" i="5"/>
  <c r="BD24" i="5"/>
  <c r="BE24" i="5"/>
  <c r="BD39" i="5"/>
  <c r="BE39" i="5"/>
  <c r="BE268" i="5"/>
  <c r="BD268" i="5"/>
  <c r="BD60" i="5"/>
  <c r="BE60" i="5"/>
  <c r="BE241" i="5"/>
  <c r="BD241" i="5"/>
  <c r="BD169" i="5"/>
  <c r="BE169" i="5"/>
  <c r="BE131" i="5"/>
  <c r="BD131" i="5"/>
  <c r="BD238" i="5"/>
  <c r="BE238" i="5"/>
  <c r="BD116" i="5"/>
  <c r="BE116" i="5"/>
  <c r="BE227" i="5"/>
  <c r="BD227" i="5"/>
  <c r="BE313" i="5"/>
  <c r="BD313" i="5"/>
  <c r="BD172" i="5"/>
  <c r="BE172" i="5"/>
  <c r="BE324" i="5"/>
  <c r="BD324" i="5"/>
  <c r="BD148" i="5"/>
  <c r="BE148" i="5"/>
  <c r="BD178" i="5"/>
  <c r="BE178" i="5"/>
  <c r="BE29" i="5"/>
  <c r="BD29" i="5"/>
  <c r="BD109" i="5"/>
  <c r="BE109" i="5"/>
  <c r="BE240" i="5"/>
  <c r="BD240" i="5"/>
  <c r="BD26" i="5"/>
  <c r="BE26" i="5"/>
  <c r="BE351" i="5"/>
  <c r="BD351" i="5"/>
  <c r="BD132" i="5"/>
  <c r="BE132" i="5"/>
  <c r="BE150" i="5"/>
  <c r="BD150" i="5"/>
  <c r="BD424" i="5"/>
  <c r="BE424" i="5"/>
  <c r="BD147" i="5"/>
  <c r="BE147" i="5"/>
  <c r="BE117" i="5"/>
  <c r="BD117" i="5"/>
  <c r="BD139" i="5"/>
  <c r="BE139" i="5"/>
  <c r="BE401" i="5"/>
  <c r="BD401" i="5"/>
  <c r="BE190" i="5"/>
  <c r="BD190" i="5"/>
  <c r="BD363" i="5"/>
  <c r="BE363" i="5"/>
  <c r="BE255" i="5"/>
  <c r="BD255" i="5"/>
  <c r="BE332" i="5"/>
  <c r="BD332" i="5"/>
  <c r="BD19" i="5"/>
  <c r="BE19" i="5"/>
  <c r="BD276" i="5"/>
  <c r="BE276" i="5"/>
  <c r="BD546" i="5"/>
  <c r="BE546" i="5"/>
  <c r="BE73" i="5"/>
  <c r="BD73" i="5"/>
  <c r="BD251" i="5"/>
  <c r="BE251" i="5"/>
  <c r="BD450" i="5"/>
  <c r="BE450" i="5"/>
  <c r="BD553" i="5"/>
  <c r="BE553" i="5"/>
  <c r="BE309" i="5"/>
  <c r="BD309" i="5"/>
  <c r="BE545" i="5"/>
  <c r="BD545" i="5"/>
  <c r="BE465" i="5"/>
  <c r="BD465" i="5"/>
  <c r="BD288" i="5"/>
  <c r="BE288" i="5"/>
  <c r="BE232" i="5"/>
  <c r="BD232" i="5"/>
  <c r="BD137" i="5"/>
  <c r="BE137" i="5"/>
  <c r="BE76" i="5"/>
  <c r="BD76" i="5"/>
  <c r="BD274" i="5"/>
  <c r="BE274" i="5"/>
  <c r="BD105" i="5"/>
  <c r="BE105" i="5"/>
  <c r="BE326" i="5"/>
  <c r="BD326" i="5"/>
  <c r="BE121" i="5"/>
  <c r="BD121" i="5"/>
  <c r="BE201" i="5"/>
  <c r="BD201" i="5"/>
  <c r="BD111" i="5"/>
  <c r="BE111" i="5"/>
  <c r="BE110" i="5"/>
  <c r="BD110" i="5"/>
  <c r="BE184" i="5"/>
  <c r="BD184" i="5"/>
  <c r="BE157" i="5"/>
  <c r="BD157" i="5"/>
  <c r="BE202" i="5"/>
  <c r="BD202" i="5"/>
  <c r="BE199" i="5"/>
  <c r="BD199" i="5"/>
  <c r="BD154" i="5"/>
  <c r="BE154" i="5"/>
  <c r="BE243" i="5"/>
  <c r="BD243" i="5"/>
  <c r="BE317" i="5"/>
  <c r="BD317" i="5"/>
  <c r="BD126" i="5"/>
  <c r="BE126" i="5"/>
  <c r="BD412" i="5"/>
  <c r="BE412" i="5"/>
  <c r="BD289" i="5"/>
  <c r="BE289" i="5"/>
  <c r="BD136" i="5"/>
  <c r="BE136" i="5"/>
  <c r="BE411" i="5"/>
  <c r="BD411" i="5"/>
  <c r="BD160" i="5"/>
  <c r="BE160" i="5"/>
  <c r="BD279" i="5"/>
  <c r="BE279" i="5"/>
  <c r="BE194" i="5"/>
  <c r="BD194" i="5"/>
  <c r="BD212" i="5"/>
  <c r="BE212" i="5"/>
  <c r="BE91" i="5"/>
  <c r="BD91" i="5"/>
  <c r="BD414" i="5"/>
  <c r="BE414" i="5"/>
  <c r="BD501" i="5"/>
  <c r="BE501" i="5"/>
  <c r="BD477" i="5"/>
  <c r="BE477" i="5"/>
  <c r="BD432" i="5"/>
  <c r="BE432" i="5"/>
  <c r="BD108" i="5"/>
  <c r="BE108" i="5"/>
  <c r="BD89" i="5"/>
  <c r="BE89" i="5"/>
  <c r="BE314" i="5"/>
  <c r="BD314" i="5"/>
  <c r="BE74" i="5"/>
  <c r="BD74" i="5"/>
  <c r="BE323" i="5"/>
  <c r="BD323" i="5"/>
  <c r="BD32" i="5"/>
  <c r="BE32" i="5"/>
  <c r="BE134" i="5"/>
  <c r="BD134" i="5"/>
  <c r="BE261" i="5"/>
  <c r="BD261" i="5"/>
  <c r="BD532" i="5"/>
  <c r="BE532" i="5"/>
  <c r="BE478" i="5"/>
  <c r="BD478" i="5"/>
  <c r="BD392" i="5"/>
  <c r="BE392" i="5"/>
  <c r="BD242" i="5"/>
  <c r="BE242" i="5"/>
  <c r="BD226" i="5"/>
  <c r="BE226" i="5"/>
  <c r="BD285" i="5"/>
  <c r="BE285" i="5"/>
  <c r="BD491" i="5"/>
  <c r="BE491" i="5"/>
  <c r="BD249" i="5"/>
  <c r="BE249" i="5"/>
  <c r="BD69" i="5"/>
  <c r="BE69" i="5"/>
  <c r="BE174" i="5"/>
  <c r="BD174" i="5"/>
  <c r="BE171" i="5"/>
  <c r="BD171" i="5"/>
  <c r="BE125" i="5"/>
  <c r="BD125" i="5"/>
  <c r="BD118" i="5"/>
  <c r="BE118" i="5"/>
  <c r="BD88" i="5"/>
  <c r="BE88" i="5"/>
  <c r="BD40" i="5"/>
  <c r="BE40" i="5"/>
  <c r="BD247" i="5"/>
  <c r="BE247" i="5"/>
  <c r="BD56" i="5"/>
  <c r="BE56" i="5"/>
  <c r="BD47" i="5"/>
  <c r="BE47" i="5"/>
  <c r="BD85" i="5"/>
  <c r="BE85" i="5"/>
  <c r="BE302" i="5"/>
  <c r="BD302" i="5"/>
  <c r="BE265" i="5"/>
  <c r="BD265" i="5"/>
  <c r="BD161" i="5"/>
  <c r="BE161" i="5"/>
  <c r="BD185" i="5"/>
  <c r="BE185" i="5"/>
  <c r="BD221" i="5"/>
  <c r="BE163" i="5"/>
  <c r="BE234" i="5"/>
  <c r="BD115" i="5"/>
  <c r="BE122" i="5"/>
  <c r="BD166" i="5"/>
  <c r="BD84" i="5"/>
  <c r="BD23" i="5"/>
  <c r="BE536" i="5"/>
  <c r="BD543" i="5"/>
  <c r="BE469" i="5"/>
  <c r="BE481" i="5"/>
  <c r="BD329" i="5"/>
  <c r="BD138" i="5"/>
  <c r="BE138" i="5"/>
  <c r="BD140" i="5"/>
  <c r="BE140" i="5"/>
  <c r="BE245" i="5"/>
  <c r="BD145" i="5"/>
  <c r="BE145" i="5"/>
  <c r="BE149" i="5"/>
  <c r="BD149" i="5"/>
  <c r="BE75" i="5"/>
  <c r="BD97" i="5"/>
  <c r="BE43" i="5"/>
  <c r="BD71" i="5"/>
  <c r="BE338" i="5"/>
  <c r="BE168" i="5"/>
  <c r="BD210" i="5"/>
  <c r="BD72" i="5"/>
  <c r="BE72" i="5"/>
  <c r="BE393" i="5"/>
  <c r="BE113" i="5"/>
  <c r="BE65" i="5"/>
  <c r="BE356" i="5"/>
  <c r="BE521" i="5"/>
  <c r="BD555" i="5"/>
  <c r="BD80" i="5"/>
  <c r="BE80" i="5"/>
  <c r="BE197" i="5"/>
  <c r="BD197" i="5"/>
  <c r="BD495" i="5"/>
  <c r="BD175" i="5"/>
  <c r="BE141" i="5"/>
  <c r="BE278" i="5"/>
  <c r="BE34" i="5"/>
  <c r="BE337" i="5"/>
  <c r="BD549" i="5"/>
  <c r="BE70" i="5"/>
  <c r="BD21" i="5"/>
  <c r="BE379" i="5"/>
  <c r="BD379" i="5"/>
  <c r="BE61" i="5"/>
  <c r="BD344" i="5"/>
  <c r="BE286" i="5"/>
  <c r="BD286" i="5"/>
  <c r="BD300" i="5"/>
  <c r="BE90" i="5"/>
  <c r="BD90" i="5"/>
  <c r="BE440" i="5"/>
  <c r="BD440" i="5"/>
  <c r="BD231" i="5"/>
  <c r="BD188" i="5"/>
  <c r="BE303" i="5"/>
  <c r="BD303" i="5"/>
  <c r="BE244" i="5"/>
  <c r="BD244" i="5"/>
  <c r="BE193" i="5"/>
  <c r="BD193" i="5"/>
  <c r="BD229" i="5"/>
  <c r="BE229" i="5"/>
  <c r="BD405" i="5"/>
  <c r="BE405" i="5"/>
  <c r="BD275" i="5"/>
  <c r="BE275" i="5"/>
  <c r="BE294" i="5"/>
  <c r="BD294" i="5"/>
  <c r="BE182" i="5"/>
  <c r="BD182" i="5"/>
  <c r="BE365" i="5"/>
  <c r="BD365" i="5"/>
  <c r="BE445" i="5"/>
  <c r="BD445" i="5"/>
  <c r="BE515" i="5"/>
  <c r="BD515" i="5"/>
  <c r="BE448" i="5"/>
  <c r="BD448" i="5"/>
  <c r="BD106" i="5"/>
  <c r="BE106" i="5"/>
  <c r="BD282" i="5"/>
  <c r="BE282" i="5"/>
  <c r="BD239" i="5"/>
  <c r="BE239" i="5"/>
  <c r="BE505" i="5"/>
  <c r="BD505" i="5"/>
  <c r="BD396" i="5"/>
  <c r="BE396" i="5"/>
  <c r="BE407" i="5"/>
  <c r="BD407" i="5"/>
  <c r="BD547" i="5"/>
  <c r="BE547" i="5"/>
  <c r="BE94" i="5"/>
  <c r="BD46" i="5"/>
  <c r="BE46" i="5"/>
  <c r="BE162" i="5"/>
  <c r="BD162" i="5"/>
  <c r="BD167" i="5"/>
  <c r="BE167" i="5"/>
  <c r="BE277" i="5"/>
  <c r="BD277" i="5"/>
  <c r="BD340" i="5"/>
  <c r="BE340" i="5"/>
  <c r="BD409" i="5"/>
  <c r="BE409" i="5"/>
  <c r="BD496" i="5"/>
  <c r="BE496" i="5"/>
  <c r="BE475" i="5"/>
  <c r="BD475" i="5"/>
  <c r="BD362" i="5"/>
  <c r="BE362" i="5"/>
  <c r="BE410" i="5"/>
  <c r="BD410" i="5"/>
  <c r="BE361" i="5"/>
  <c r="BD361" i="5"/>
  <c r="BE433" i="5"/>
  <c r="BD433" i="5"/>
  <c r="BD473" i="5"/>
  <c r="BE473" i="5"/>
  <c r="BD517" i="5"/>
  <c r="BE517" i="5"/>
  <c r="BD493" i="5"/>
  <c r="BE493" i="5"/>
  <c r="BD339" i="5"/>
  <c r="BE339" i="5"/>
  <c r="BD280" i="5"/>
  <c r="BE280" i="5"/>
  <c r="BD124" i="5"/>
  <c r="BE124" i="5"/>
  <c r="BE461" i="5"/>
  <c r="BD461" i="5"/>
  <c r="BE358" i="5"/>
  <c r="BD358" i="5"/>
  <c r="BD457" i="5"/>
  <c r="BE457" i="5"/>
  <c r="BD348" i="5"/>
  <c r="BE348" i="5"/>
  <c r="BD256" i="5"/>
  <c r="BE256" i="5"/>
  <c r="BE503" i="5"/>
  <c r="BD503" i="5"/>
  <c r="BE58" i="5"/>
  <c r="BD58" i="5"/>
  <c r="BD187" i="5"/>
  <c r="BE187" i="5"/>
  <c r="BD20" i="5"/>
  <c r="BE20" i="5"/>
  <c r="BD416" i="5"/>
  <c r="BE416" i="5"/>
  <c r="BD57" i="5"/>
  <c r="BE57" i="5"/>
  <c r="BD355" i="5"/>
  <c r="BE355" i="5"/>
  <c r="BE62" i="5"/>
  <c r="BD62" i="5"/>
  <c r="BD128" i="5"/>
  <c r="BE128" i="5"/>
  <c r="BE376" i="5"/>
  <c r="BD376" i="5"/>
  <c r="BD527" i="5"/>
  <c r="BE527" i="5"/>
  <c r="BD431" i="5"/>
  <c r="BE431" i="5"/>
  <c r="BD439" i="5"/>
  <c r="BE439" i="5"/>
  <c r="BE492" i="5"/>
  <c r="BD492" i="5"/>
  <c r="BE541" i="5"/>
  <c r="BD541" i="5"/>
  <c r="BD447" i="5"/>
  <c r="BE447" i="5"/>
  <c r="BE28" i="5"/>
  <c r="BD28" i="5"/>
  <c r="BE181" i="5"/>
  <c r="BD181" i="5"/>
  <c r="BD95" i="5"/>
  <c r="BE95" i="5"/>
  <c r="BD120" i="5"/>
  <c r="BE120" i="5"/>
  <c r="BE413" i="5"/>
  <c r="BD413" i="5"/>
  <c r="V13" i="5"/>
  <c r="U13" i="5"/>
  <c r="BE96" i="5"/>
  <c r="BD96" i="5"/>
  <c r="BE331" i="5"/>
  <c r="BD331" i="5"/>
  <c r="BE377" i="5"/>
  <c r="BD377" i="5"/>
  <c r="BD186" i="5"/>
  <c r="BE186" i="5"/>
  <c r="BE293" i="5"/>
  <c r="BD293" i="5"/>
  <c r="BE406" i="5"/>
  <c r="BD406" i="5"/>
  <c r="BD415" i="5"/>
  <c r="BE415" i="5"/>
  <c r="BE402" i="5"/>
  <c r="BD402" i="5"/>
  <c r="BD420" i="5"/>
  <c r="BE420" i="5"/>
  <c r="BE449" i="5"/>
  <c r="BD449" i="5"/>
  <c r="BD464" i="5"/>
  <c r="BE464" i="5"/>
  <c r="BD531" i="5"/>
  <c r="BE531" i="5"/>
  <c r="BE529" i="5"/>
  <c r="BD529" i="5"/>
  <c r="BD176" i="5"/>
  <c r="BE176" i="5"/>
  <c r="BE253" i="5"/>
  <c r="BD253" i="5"/>
  <c r="BE370" i="5"/>
  <c r="BD370" i="5"/>
  <c r="BE389" i="5"/>
  <c r="BD389" i="5"/>
  <c r="BE417" i="5"/>
  <c r="BD417" i="5"/>
  <c r="BE514" i="5"/>
  <c r="BD514" i="5"/>
  <c r="BD530" i="5"/>
  <c r="BE530" i="5"/>
  <c r="BE364" i="5"/>
  <c r="BD364" i="5"/>
  <c r="BE107" i="5"/>
  <c r="BD107" i="5"/>
  <c r="BD271" i="5"/>
  <c r="BE271" i="5"/>
  <c r="BE104" i="5"/>
  <c r="BD104" i="5"/>
  <c r="BE165" i="5"/>
  <c r="BD165" i="5"/>
  <c r="BE291" i="5"/>
  <c r="BD291" i="5"/>
  <c r="BD544" i="5"/>
  <c r="BE544" i="5"/>
  <c r="BE451" i="5"/>
  <c r="BD451" i="5"/>
  <c r="BE472" i="5"/>
  <c r="BD472" i="5"/>
  <c r="BD155" i="5"/>
  <c r="BE155" i="5"/>
  <c r="BE67" i="5"/>
  <c r="BD67" i="5"/>
  <c r="BE423" i="5"/>
  <c r="BD423" i="5"/>
  <c r="BD539" i="5"/>
  <c r="BE539" i="5"/>
  <c r="BD436" i="5"/>
  <c r="BE436" i="5"/>
  <c r="BE397" i="5"/>
  <c r="BD397" i="5"/>
  <c r="BE467" i="5"/>
  <c r="BD467" i="5"/>
  <c r="BE347" i="5"/>
  <c r="BD347" i="5"/>
  <c r="BE330" i="5"/>
  <c r="BD330" i="5"/>
  <c r="BD304" i="5"/>
  <c r="BE304" i="5"/>
  <c r="BE153" i="5"/>
  <c r="BD153" i="5"/>
  <c r="BD500" i="5"/>
  <c r="BE500" i="5"/>
  <c r="BE391" i="5"/>
  <c r="BD391" i="5"/>
  <c r="BD554" i="5"/>
  <c r="BE554" i="5"/>
  <c r="BD502" i="5"/>
  <c r="BE502" i="5"/>
  <c r="BD33" i="5"/>
  <c r="BE33" i="5"/>
  <c r="BE403" i="5"/>
  <c r="BD403" i="5"/>
  <c r="BD318" i="5"/>
  <c r="BE318" i="5"/>
  <c r="BE372" i="5"/>
  <c r="BD372" i="5"/>
  <c r="BD322" i="5"/>
  <c r="BE322" i="5"/>
  <c r="BE129" i="5"/>
  <c r="BD129" i="5"/>
  <c r="BE312" i="5"/>
  <c r="BD312" i="5"/>
  <c r="BD480" i="5"/>
  <c r="BE480" i="5"/>
  <c r="BD205" i="5"/>
  <c r="BE205" i="5"/>
  <c r="BE224" i="5"/>
  <c r="BD224" i="5"/>
  <c r="BD333" i="5"/>
  <c r="BE333" i="5"/>
  <c r="BD37" i="5"/>
  <c r="BE37" i="5"/>
  <c r="BD408" i="5"/>
  <c r="BE408" i="5"/>
  <c r="BD320" i="5"/>
  <c r="BE320" i="5"/>
  <c r="BE343" i="5"/>
  <c r="BD343" i="5"/>
  <c r="BD425" i="5"/>
  <c r="BE425" i="5"/>
  <c r="BD516" i="5"/>
  <c r="BE516" i="5"/>
  <c r="BD520" i="5"/>
  <c r="BE520" i="5"/>
  <c r="BD368" i="5"/>
  <c r="BE368" i="5"/>
  <c r="BD367" i="5"/>
  <c r="BE367" i="5"/>
  <c r="BE435" i="5"/>
  <c r="BD435" i="5"/>
  <c r="BD486" i="5"/>
  <c r="BE486" i="5"/>
  <c r="BE386" i="5"/>
  <c r="BD386" i="5"/>
  <c r="BE468" i="5"/>
  <c r="BD468" i="5"/>
  <c r="BD135" i="5"/>
  <c r="BE135" i="5"/>
  <c r="BD525" i="5"/>
  <c r="BE525" i="5"/>
  <c r="BE228" i="5"/>
  <c r="BD228" i="5"/>
  <c r="BE327" i="5"/>
  <c r="BD327" i="5"/>
  <c r="BD77" i="5"/>
  <c r="BE77" i="5"/>
  <c r="BE349" i="5"/>
  <c r="BD349" i="5"/>
  <c r="BD383" i="5"/>
  <c r="BE383" i="5"/>
  <c r="BD354" i="5"/>
  <c r="BE354" i="5"/>
  <c r="BE490" i="5"/>
  <c r="BD490" i="5"/>
  <c r="BE400" i="5"/>
  <c r="BD400" i="5"/>
  <c r="BD373" i="5"/>
  <c r="BE373" i="5"/>
  <c r="BE99" i="5"/>
  <c r="BD99" i="5"/>
  <c r="BE328" i="5"/>
  <c r="BD328" i="5"/>
  <c r="BE345" i="5"/>
  <c r="BD345" i="5"/>
  <c r="BD203" i="5"/>
  <c r="BE203" i="5"/>
  <c r="BD359" i="5"/>
  <c r="BE359" i="5"/>
  <c r="BD63" i="5"/>
  <c r="BE63" i="5"/>
  <c r="BE419" i="5"/>
  <c r="BD419" i="5"/>
  <c r="BD215" i="5"/>
  <c r="BE215" i="5"/>
  <c r="BD394" i="5"/>
  <c r="BE394" i="5"/>
  <c r="BD418" i="5"/>
  <c r="BE418" i="5"/>
  <c r="BD442" i="5"/>
  <c r="BE442" i="5"/>
  <c r="BE504" i="5"/>
  <c r="BD504" i="5"/>
  <c r="BD381" i="5"/>
  <c r="BE381" i="5"/>
  <c r="BD428" i="5"/>
  <c r="BE428" i="5"/>
  <c r="BE484" i="5"/>
  <c r="BD484" i="5"/>
  <c r="BD452" i="5"/>
  <c r="BE452" i="5"/>
  <c r="BE429" i="5"/>
  <c r="BD429" i="5"/>
  <c r="BE459" i="5"/>
  <c r="BD459" i="5"/>
  <c r="BE388" i="5"/>
  <c r="BD388" i="5"/>
  <c r="BD266" i="5"/>
  <c r="BE266" i="5"/>
  <c r="BD207" i="5"/>
  <c r="BE207" i="5"/>
  <c r="BE319" i="5"/>
  <c r="BD319" i="5"/>
  <c r="BE390" i="5"/>
  <c r="BD390" i="5"/>
  <c r="BD556" i="5"/>
  <c r="BE556" i="5"/>
  <c r="BD218" i="5"/>
  <c r="BE218" i="5"/>
  <c r="AX13" i="5"/>
  <c r="AY13" i="5"/>
  <c r="BE143" i="5"/>
  <c r="BD143" i="5"/>
  <c r="BE146" i="5"/>
  <c r="BD146" i="5"/>
  <c r="BE307" i="5"/>
  <c r="BD307" i="5"/>
  <c r="BD494" i="5"/>
  <c r="BE494" i="5"/>
  <c r="BD538" i="5"/>
  <c r="BE538" i="5"/>
  <c r="BE444" i="5"/>
  <c r="BD444" i="5"/>
  <c r="BE499" i="5"/>
  <c r="BD499" i="5"/>
  <c r="BE342" i="5"/>
  <c r="BD342" i="5"/>
  <c r="BD506" i="5"/>
  <c r="BE506" i="5"/>
  <c r="BD548" i="5"/>
  <c r="BE548" i="5"/>
  <c r="BE456" i="5"/>
  <c r="BD456" i="5"/>
  <c r="BD471" i="5"/>
  <c r="BE471" i="5"/>
  <c r="BD421" i="5"/>
  <c r="BE421" i="5"/>
  <c r="BE297" i="5"/>
  <c r="BD297" i="5"/>
  <c r="BD260" i="5"/>
  <c r="BE260" i="5"/>
  <c r="BE142" i="5"/>
  <c r="BD142" i="5"/>
  <c r="BD512" i="5"/>
  <c r="BE512" i="5"/>
  <c r="BD558" i="5"/>
  <c r="BE558" i="5"/>
  <c r="BE511" i="5"/>
  <c r="BD511" i="5"/>
  <c r="BD200" i="5"/>
  <c r="BE200" i="5"/>
  <c r="BD334" i="5"/>
  <c r="BE334" i="5"/>
  <c r="BD466" i="5"/>
  <c r="BE466" i="5"/>
  <c r="BD522" i="5"/>
  <c r="BE522" i="5"/>
  <c r="BE524" i="5"/>
  <c r="BD524" i="5"/>
  <c r="BD509" i="5"/>
  <c r="BE509" i="5"/>
  <c r="BE485" i="5"/>
  <c r="BD485" i="5"/>
  <c r="BE220" i="5"/>
  <c r="BD220" i="5"/>
  <c r="BD341" i="5"/>
  <c r="BE341" i="5"/>
  <c r="BD321" i="5"/>
  <c r="BE321" i="5"/>
  <c r="BD385" i="5"/>
  <c r="BE385" i="5"/>
  <c r="BD488" i="5"/>
  <c r="BE488" i="5"/>
  <c r="BD398" i="5"/>
  <c r="BE398" i="5"/>
  <c r="BD430" i="5"/>
  <c r="BE430" i="5"/>
  <c r="BD93" i="5"/>
  <c r="BE93" i="5"/>
  <c r="BD519" i="5"/>
  <c r="BE519" i="5"/>
  <c r="BE474" i="5"/>
  <c r="BD474" i="5"/>
  <c r="BE310" i="5"/>
  <c r="BD310" i="5"/>
  <c r="BE357" i="5"/>
  <c r="BD357" i="5"/>
  <c r="AU13" i="5"/>
  <c r="AV13" i="5"/>
  <c r="BC13" i="5"/>
  <c r="BE434" i="5"/>
  <c r="BD434" i="5"/>
  <c r="BE250" i="5"/>
  <c r="BD250" i="5"/>
  <c r="BD336" i="5"/>
  <c r="BE336" i="5"/>
  <c r="BD460" i="5"/>
  <c r="BE460" i="5"/>
  <c r="BE557" i="5"/>
  <c r="BD557" i="5"/>
  <c r="BD542" i="5"/>
  <c r="BE542" i="5"/>
  <c r="BD384" i="5"/>
  <c r="BE384" i="5"/>
  <c r="BE267" i="5"/>
  <c r="BD267" i="5"/>
  <c r="BD179" i="5"/>
  <c r="BE179" i="5"/>
  <c r="BE272" i="5"/>
  <c r="BD272" i="5"/>
  <c r="BE123" i="5"/>
  <c r="BD123" i="5"/>
  <c r="BD87" i="5"/>
  <c r="BE87" i="5"/>
  <c r="BD50" i="5"/>
  <c r="BE50" i="5"/>
  <c r="BE252" i="5"/>
  <c r="BD252" i="5"/>
  <c r="BE311" i="5"/>
  <c r="BD311" i="5"/>
  <c r="BE380" i="5"/>
  <c r="BD380" i="5"/>
  <c r="BD254" i="5"/>
  <c r="BE254" i="5"/>
  <c r="BE399" i="5"/>
  <c r="BD399" i="5"/>
  <c r="BD49" i="5"/>
  <c r="BE49" i="5"/>
  <c r="BE192" i="5"/>
  <c r="BD192" i="5"/>
  <c r="BE350" i="5"/>
  <c r="BD350" i="5"/>
  <c r="BE42" i="5"/>
  <c r="BD42" i="5"/>
  <c r="BE257" i="5"/>
  <c r="BD257" i="5"/>
  <c r="BE366" i="5"/>
  <c r="BD366" i="5"/>
  <c r="BD518" i="5"/>
  <c r="BE518" i="5"/>
  <c r="BE374" i="5"/>
  <c r="BD374" i="5"/>
  <c r="BE378" i="5"/>
  <c r="BD378" i="5"/>
  <c r="BD479" i="5"/>
  <c r="BE479" i="5"/>
  <c r="BE528" i="5"/>
  <c r="BD528" i="5"/>
  <c r="BE498" i="5"/>
  <c r="BD498" i="5"/>
  <c r="BD259" i="5"/>
  <c r="BE259" i="5"/>
  <c r="BE463" i="5"/>
  <c r="BD463" i="5"/>
  <c r="BE510" i="5"/>
  <c r="BD510" i="5"/>
  <c r="BD301" i="5"/>
  <c r="BE301" i="5"/>
  <c r="BE25" i="5"/>
  <c r="BD25" i="5"/>
  <c r="BD325" i="5"/>
  <c r="BE325" i="5"/>
  <c r="BE483" i="5"/>
  <c r="BD483" i="5"/>
  <c r="BE455" i="5"/>
  <c r="BD455" i="5"/>
  <c r="BD196" i="5"/>
  <c r="BE196" i="5"/>
  <c r="BE177" i="5"/>
  <c r="BD177" i="5"/>
  <c r="BE36" i="5"/>
  <c r="BD36" i="5"/>
  <c r="BE102" i="5"/>
  <c r="BD102" i="5"/>
  <c r="BD270" i="5"/>
  <c r="BE270" i="5"/>
  <c r="BD353" i="5"/>
  <c r="BE353" i="5"/>
  <c r="BD204" i="5"/>
  <c r="BE204" i="5"/>
  <c r="BE292" i="5"/>
  <c r="BD292" i="5"/>
  <c r="BD426" i="5"/>
  <c r="BE426" i="5"/>
  <c r="BE482" i="5"/>
  <c r="BD482" i="5"/>
  <c r="BD335" i="5"/>
  <c r="BE335" i="5"/>
  <c r="BD535" i="5"/>
  <c r="BE535" i="5"/>
  <c r="BD395" i="5"/>
  <c r="BE395" i="5"/>
  <c r="BE382" i="5"/>
  <c r="BD382" i="5"/>
  <c r="BE489" i="5"/>
  <c r="BD489" i="5"/>
  <c r="BD534" i="5"/>
  <c r="BE534" i="5"/>
  <c r="BD526" i="5"/>
  <c r="BE526" i="5"/>
  <c r="BD375" i="5"/>
  <c r="BE375" i="5"/>
  <c r="BE173" i="5"/>
  <c r="BD173" i="5"/>
  <c r="BD258" i="5"/>
  <c r="BE258" i="5"/>
  <c r="BE248" i="5"/>
  <c r="BD248" i="5"/>
  <c r="BE508" i="5"/>
  <c r="BD508" i="5"/>
  <c r="BD552" i="5"/>
  <c r="BE552" i="5"/>
  <c r="BD507" i="5"/>
  <c r="BE507" i="5"/>
  <c r="BD422" i="5"/>
  <c r="BE422" i="5"/>
  <c r="BD513" i="5"/>
  <c r="BE513" i="5"/>
  <c r="BE281" i="5"/>
  <c r="BD281" i="5"/>
  <c r="BE54" i="5"/>
  <c r="BD54" i="5"/>
  <c r="BD170" i="5"/>
  <c r="BE170" i="5"/>
  <c r="BD233" i="5"/>
  <c r="BE233" i="5"/>
  <c r="BA13" i="5"/>
  <c r="BB13" i="5"/>
  <c r="BD217" i="5"/>
  <c r="BE217" i="5"/>
  <c r="BD371" i="5"/>
  <c r="BE371" i="5"/>
  <c r="BD79" i="5"/>
  <c r="BE79" i="5"/>
  <c r="BE308" i="5"/>
  <c r="BD308" i="5"/>
  <c r="BE441" i="5"/>
  <c r="BD441" i="5"/>
  <c r="BE458" i="5"/>
  <c r="BD458" i="5"/>
  <c r="BD551" i="5"/>
  <c r="BE551" i="5"/>
  <c r="BD443" i="5"/>
  <c r="BE443" i="5"/>
  <c r="BE540" i="5"/>
  <c r="BD540" i="5"/>
  <c r="BD446" i="5"/>
  <c r="BE446" i="5"/>
  <c r="BD550" i="5"/>
  <c r="BE550" i="5"/>
  <c r="BD404" i="5"/>
  <c r="BE404" i="5"/>
  <c r="BD523" i="5"/>
  <c r="BE523" i="5"/>
  <c r="BE427" i="5"/>
  <c r="BD427" i="5"/>
  <c r="BD216" i="5"/>
  <c r="BE216" i="5"/>
  <c r="BE151" i="5"/>
  <c r="BD151" i="5"/>
  <c r="BD497" i="5"/>
  <c r="BE497" i="5"/>
  <c r="BD454" i="5"/>
  <c r="BE454" i="5"/>
  <c r="BD438" i="5"/>
  <c r="BE438" i="5"/>
  <c r="B49" i="5"/>
  <c r="B52" i="5" s="1"/>
  <c r="B35" i="5"/>
  <c r="B155" i="2"/>
  <c r="B174" i="2"/>
  <c r="B177" i="2" s="1"/>
  <c r="Z7" i="5" s="1"/>
  <c r="B71" i="5"/>
  <c r="B93" i="2"/>
  <c r="O15" i="4"/>
  <c r="B23" i="5"/>
  <c r="B154" i="2"/>
  <c r="B34" i="5"/>
  <c r="J50" i="5"/>
  <c r="B195" i="2"/>
  <c r="BD12" i="5" l="1"/>
  <c r="BD13" i="5"/>
  <c r="BE13" i="5"/>
  <c r="Z350" i="5"/>
  <c r="Z375" i="5"/>
  <c r="Z252" i="5"/>
  <c r="Z353" i="5"/>
  <c r="Z459" i="5"/>
  <c r="Z80" i="5"/>
  <c r="Z308" i="5"/>
  <c r="Z452" i="5"/>
  <c r="Z528" i="5"/>
  <c r="Z246" i="5"/>
  <c r="Z455" i="5"/>
  <c r="Z343" i="5"/>
  <c r="Z211" i="5"/>
  <c r="Z337" i="5"/>
  <c r="Z203" i="5"/>
  <c r="Z406" i="5"/>
  <c r="Z379" i="5"/>
  <c r="Z378" i="5"/>
  <c r="Z511" i="5"/>
  <c r="Z512" i="5"/>
  <c r="Z417" i="5"/>
  <c r="Z34" i="5"/>
  <c r="Z148" i="5"/>
  <c r="Z539" i="5"/>
  <c r="Z554" i="5"/>
  <c r="Z107" i="5"/>
  <c r="Z525" i="5"/>
  <c r="Z170" i="5"/>
  <c r="Z233" i="5"/>
  <c r="Z288" i="5"/>
  <c r="Z199" i="5"/>
  <c r="Z260" i="5"/>
  <c r="Z509" i="5"/>
  <c r="Z510" i="5"/>
  <c r="Z206" i="5"/>
  <c r="Z244" i="5"/>
  <c r="Z376" i="5"/>
  <c r="Z348" i="5"/>
  <c r="Z393" i="5"/>
  <c r="Z31" i="5"/>
  <c r="Z78" i="5"/>
  <c r="Z98" i="5"/>
  <c r="Z467" i="5"/>
  <c r="Z501" i="5"/>
  <c r="Z181" i="5"/>
  <c r="Z435" i="5"/>
  <c r="Z33" i="5"/>
  <c r="Z175" i="5"/>
  <c r="Z259" i="5"/>
  <c r="Z182" i="5"/>
  <c r="Z122" i="5"/>
  <c r="Z405" i="5"/>
  <c r="Z57" i="5"/>
  <c r="Z202" i="5"/>
  <c r="Z87" i="5"/>
  <c r="Z91" i="5"/>
  <c r="Z62" i="5"/>
  <c r="Z543" i="5"/>
  <c r="Z39" i="5"/>
  <c r="Z529" i="5"/>
  <c r="Z490" i="5"/>
  <c r="Z542" i="5"/>
  <c r="Z139" i="5"/>
  <c r="Z401" i="5"/>
  <c r="Z432" i="5"/>
  <c r="Z196" i="5"/>
  <c r="Z515" i="5"/>
  <c r="Z45" i="5"/>
  <c r="Z530" i="5"/>
  <c r="Z431" i="5"/>
  <c r="Z347" i="5"/>
  <c r="Z149" i="5"/>
  <c r="Z278" i="5"/>
  <c r="Z352" i="5"/>
  <c r="Z446" i="5"/>
  <c r="Z264" i="5"/>
  <c r="Z342" i="5"/>
  <c r="Z119" i="5"/>
  <c r="Z229" i="5"/>
  <c r="Z410" i="5"/>
  <c r="Z223" i="5"/>
  <c r="Z13" i="5"/>
  <c r="Z324" i="5"/>
  <c r="Z274" i="5"/>
  <c r="Z88" i="5"/>
  <c r="Z409" i="5"/>
  <c r="Z269" i="5"/>
  <c r="Z460" i="5"/>
  <c r="Z363" i="5"/>
  <c r="Z63" i="5"/>
  <c r="Z422" i="5"/>
  <c r="Z82" i="5"/>
  <c r="Z346" i="5"/>
  <c r="Z414" i="5"/>
  <c r="Z50" i="5"/>
  <c r="Z239" i="5"/>
  <c r="Z486" i="5"/>
  <c r="Z449" i="5"/>
  <c r="Z141" i="5"/>
  <c r="Z257" i="5"/>
  <c r="Z192" i="5"/>
  <c r="Z65" i="5"/>
  <c r="Z332" i="5"/>
  <c r="Z20" i="5"/>
  <c r="Z447" i="5"/>
  <c r="Z222" i="5"/>
  <c r="Z368" i="5"/>
  <c r="Z71" i="5"/>
  <c r="Z549" i="5"/>
  <c r="Z450" i="5"/>
  <c r="Z262" i="5"/>
  <c r="Z232" i="5"/>
  <c r="Z335" i="5"/>
  <c r="Z408" i="5"/>
  <c r="Z152" i="5"/>
  <c r="Z197" i="5"/>
  <c r="Z402" i="5"/>
  <c r="Z169" i="5"/>
  <c r="Z412" i="5"/>
  <c r="Z492" i="5"/>
  <c r="Z299" i="5"/>
  <c r="Z84" i="5"/>
  <c r="Z306" i="5"/>
  <c r="Z331" i="5"/>
  <c r="Z205" i="5"/>
  <c r="Z320" i="5"/>
  <c r="Z275" i="5"/>
  <c r="Z51" i="5"/>
  <c r="Z488" i="5"/>
  <c r="Z317" i="5"/>
  <c r="Z399" i="5"/>
  <c r="Z377" i="5"/>
  <c r="Z241" i="5"/>
  <c r="Z483" i="5"/>
  <c r="Z482" i="5"/>
  <c r="Z436" i="5"/>
  <c r="Z100" i="5"/>
  <c r="Z159" i="5"/>
  <c r="Z386" i="5"/>
  <c r="Z191" i="5"/>
  <c r="Z81" i="5"/>
  <c r="Z8" i="5"/>
  <c r="Z313" i="5"/>
  <c r="Z500" i="5"/>
  <c r="Z312" i="5"/>
  <c r="Z106" i="5"/>
  <c r="Z533" i="5"/>
  <c r="Z68" i="5"/>
  <c r="Z361" i="5"/>
  <c r="Z234" i="5"/>
  <c r="Z296" i="5"/>
  <c r="Z461" i="5"/>
  <c r="Z129" i="5"/>
  <c r="Z24" i="5"/>
  <c r="Z198" i="5"/>
  <c r="Z514" i="5"/>
  <c r="Z218" i="5"/>
  <c r="Z137" i="5"/>
  <c r="Z493" i="5"/>
  <c r="Z283" i="5"/>
  <c r="Z138" i="5"/>
  <c r="Z190" i="5"/>
  <c r="Z280" i="5"/>
  <c r="Z135" i="5"/>
  <c r="Z327" i="5"/>
  <c r="Z184" i="5"/>
  <c r="Z85" i="5"/>
  <c r="Z44" i="5"/>
  <c r="Z322" i="5"/>
  <c r="Z503" i="5"/>
  <c r="Z349" i="5"/>
  <c r="Z89" i="5"/>
  <c r="Z439" i="5"/>
  <c r="Z165" i="5"/>
  <c r="Z64" i="5"/>
  <c r="Z76" i="5"/>
  <c r="Z131" i="5"/>
  <c r="Z522" i="5"/>
  <c r="Z498" i="5"/>
  <c r="Z245" i="5"/>
  <c r="Z163" i="5"/>
  <c r="Z124" i="5"/>
  <c r="Z110" i="5"/>
  <c r="Z95" i="5"/>
  <c r="Z356" i="5"/>
  <c r="Z516" i="5"/>
  <c r="Z25" i="5"/>
  <c r="Z183" i="5"/>
  <c r="Z43" i="5"/>
  <c r="Z161" i="5"/>
  <c r="Z171" i="5"/>
  <c r="Z430" i="5"/>
  <c r="Z484" i="5"/>
  <c r="Z146" i="5"/>
  <c r="Z59" i="5"/>
  <c r="Z237" i="5"/>
  <c r="Z433" i="5"/>
  <c r="Z26" i="5"/>
  <c r="Z415" i="5"/>
  <c r="Z319" i="5"/>
  <c r="Z200" i="5"/>
  <c r="Z336" i="5"/>
  <c r="Z265" i="5"/>
  <c r="Z96" i="5"/>
  <c r="Z365" i="5"/>
  <c r="Z507" i="5"/>
  <c r="Z407" i="5"/>
  <c r="Z448" i="5"/>
  <c r="Z429" i="5"/>
  <c r="Z116" i="5"/>
  <c r="Z315" i="5"/>
  <c r="Z546" i="5"/>
  <c r="Z362" i="5"/>
  <c r="Z187" i="5"/>
  <c r="Z143" i="5"/>
  <c r="Z555" i="5"/>
  <c r="Z473" i="5"/>
  <c r="Z242" i="5"/>
  <c r="Z55" i="5"/>
  <c r="Z35" i="5"/>
  <c r="Z354" i="5"/>
  <c r="Z230" i="5"/>
  <c r="Z506" i="5"/>
  <c r="Z72" i="5"/>
  <c r="Z177" i="5"/>
  <c r="Z77" i="5"/>
  <c r="Z236" i="5"/>
  <c r="Z69" i="5"/>
  <c r="Z487" i="5"/>
  <c r="Z207" i="5"/>
  <c r="Z38" i="5"/>
  <c r="Z193" i="5"/>
  <c r="Z300" i="5"/>
  <c r="Z465" i="5"/>
  <c r="Z445" i="5"/>
  <c r="Z338" i="5"/>
  <c r="Z134" i="5"/>
  <c r="Z395" i="5"/>
  <c r="Z311" i="5"/>
  <c r="Z240" i="5"/>
  <c r="Z537" i="5"/>
  <c r="Z302" i="5"/>
  <c r="Z180" i="5"/>
  <c r="Z79" i="5"/>
  <c r="Z367" i="5"/>
  <c r="Z208" i="5"/>
  <c r="Z373" i="5"/>
  <c r="Z66" i="5"/>
  <c r="Z112" i="5"/>
  <c r="Z22" i="5"/>
  <c r="Z513" i="5"/>
  <c r="Z144" i="5"/>
  <c r="Z505" i="5"/>
  <c r="Z442" i="5"/>
  <c r="Z387" i="5"/>
  <c r="Z470" i="5"/>
  <c r="Z456" i="5"/>
  <c r="Z279" i="5"/>
  <c r="Z351" i="5"/>
  <c r="Z221" i="5"/>
  <c r="Z285" i="5"/>
  <c r="Z127" i="5"/>
  <c r="Z428" i="5"/>
  <c r="Z19" i="5"/>
  <c r="Z215" i="5"/>
  <c r="Z400" i="5"/>
  <c r="Z270" i="5"/>
  <c r="Z518" i="5"/>
  <c r="Z114" i="5"/>
  <c r="Z28" i="5"/>
  <c r="Z287" i="5"/>
  <c r="Z426" i="5"/>
  <c r="Z47" i="5"/>
  <c r="Z325" i="5"/>
  <c r="Z195" i="5"/>
  <c r="Z440" i="5"/>
  <c r="Z130" i="5"/>
  <c r="Z256" i="5"/>
  <c r="Z266" i="5"/>
  <c r="Z204" i="5"/>
  <c r="Z90" i="5"/>
  <c r="Z310" i="5"/>
  <c r="Z118" i="5"/>
  <c r="Z475" i="5"/>
  <c r="Z552" i="5"/>
  <c r="Z380" i="5"/>
  <c r="Z272" i="5"/>
  <c r="Z27" i="5"/>
  <c r="Z186" i="5"/>
  <c r="Z46" i="5"/>
  <c r="Z61" i="5"/>
  <c r="Z471" i="5"/>
  <c r="Z115" i="5"/>
  <c r="Z75" i="5"/>
  <c r="Z369" i="5"/>
  <c r="Z464" i="5"/>
  <c r="Z499" i="5"/>
  <c r="Z247" i="5"/>
  <c r="Z103" i="5"/>
  <c r="Z494" i="5"/>
  <c r="Z23" i="5"/>
  <c r="Z254" i="5"/>
  <c r="Z126" i="5"/>
  <c r="Z480" i="5"/>
  <c r="Z527" i="5"/>
  <c r="Z458" i="5"/>
  <c r="Z168" i="5"/>
  <c r="Z166" i="5"/>
  <c r="Z502" i="5"/>
  <c r="Z521" i="5"/>
  <c r="Z421" i="5"/>
  <c r="Z282" i="5"/>
  <c r="Z496" i="5"/>
  <c r="Z30" i="5"/>
  <c r="Z251" i="5"/>
  <c r="Z179" i="5"/>
  <c r="Z12" i="5"/>
  <c r="Z228" i="5"/>
  <c r="Z290" i="5"/>
  <c r="Z318" i="5"/>
  <c r="Z485" i="5"/>
  <c r="Z476" i="5"/>
  <c r="Z147" i="5"/>
  <c r="Z226" i="5"/>
  <c r="Z142" i="5"/>
  <c r="Z474" i="5"/>
  <c r="Z37" i="5"/>
  <c r="Z457" i="5"/>
  <c r="Z216" i="5"/>
  <c r="Z212" i="5"/>
  <c r="Z227" i="5"/>
  <c r="Z276" i="5"/>
  <c r="Z273" i="5"/>
  <c r="Z321" i="5"/>
  <c r="Z123" i="5"/>
  <c r="Z330" i="5"/>
  <c r="Z172" i="5"/>
  <c r="Z156" i="5"/>
  <c r="Z391" i="5"/>
  <c r="Z94" i="5"/>
  <c r="Z366" i="5"/>
  <c r="Z36" i="5"/>
  <c r="Z292" i="5"/>
  <c r="Z263" i="5"/>
  <c r="Z418" i="5"/>
  <c r="Z547" i="5"/>
  <c r="Z189" i="5"/>
  <c r="Z178" i="5"/>
  <c r="Z536" i="5"/>
  <c r="Z48" i="5"/>
  <c r="Z472" i="5"/>
  <c r="Z504" i="5"/>
  <c r="Z128" i="5"/>
  <c r="Z534" i="5"/>
  <c r="Z86" i="5"/>
  <c r="Z524" i="5"/>
  <c r="Z411" i="5"/>
  <c r="Z413" i="5"/>
  <c r="Z56" i="5"/>
  <c r="Z443" i="5"/>
  <c r="Z531" i="5"/>
  <c r="Z301" i="5"/>
  <c r="Z155" i="5"/>
  <c r="Z104" i="5"/>
  <c r="Z145" i="5"/>
  <c r="Z466" i="5"/>
  <c r="Z167" i="5"/>
  <c r="Z481" i="5"/>
  <c r="Z194" i="5"/>
  <c r="Z517" i="5"/>
  <c r="Z550" i="5"/>
  <c r="Z120" i="5"/>
  <c r="Z111" i="5"/>
  <c r="Z508" i="5"/>
  <c r="Z478" i="5"/>
  <c r="Z303" i="5"/>
  <c r="Z495" i="5"/>
  <c r="Z258" i="5"/>
  <c r="Z437" i="5"/>
  <c r="Z355" i="5"/>
  <c r="Z54" i="5"/>
  <c r="Z339" i="5"/>
  <c r="Z220" i="5"/>
  <c r="Z372" i="5"/>
  <c r="Z390" i="5"/>
  <c r="Z73" i="5"/>
  <c r="Z519" i="5"/>
  <c r="Z374" i="5"/>
  <c r="Z389" i="5"/>
  <c r="Z213" i="5"/>
  <c r="Z117" i="5"/>
  <c r="Z497" i="5"/>
  <c r="Z469" i="5"/>
  <c r="Z326" i="5"/>
  <c r="Z340" i="5"/>
  <c r="Z314" i="5"/>
  <c r="Z333" i="5"/>
  <c r="Z140" i="5"/>
  <c r="Z160" i="5"/>
  <c r="Z97" i="5"/>
  <c r="Z462" i="5"/>
  <c r="Z214" i="5"/>
  <c r="Z551" i="5"/>
  <c r="Z558" i="5"/>
  <c r="Z60" i="5"/>
  <c r="Z523" i="5"/>
  <c r="Z489" i="5"/>
  <c r="Z305" i="5"/>
  <c r="Z491" i="5"/>
  <c r="Z384" i="5"/>
  <c r="Z250" i="5"/>
  <c r="Z291" i="5"/>
  <c r="Z416" i="5"/>
  <c r="Z231" i="5"/>
  <c r="Z158" i="5"/>
  <c r="Z559" i="5"/>
  <c r="Z271" i="5"/>
  <c r="Z370" i="5"/>
  <c r="Z392" i="5"/>
  <c r="Z209" i="5"/>
  <c r="Z438" i="5"/>
  <c r="Z74" i="5"/>
  <c r="Z286" i="5"/>
  <c r="Z267" i="5"/>
  <c r="Z382" i="5"/>
  <c r="Z298" i="5"/>
  <c r="Z268" i="5"/>
  <c r="Z133" i="5"/>
  <c r="Z255" i="5"/>
  <c r="Z540" i="5"/>
  <c r="Z42" i="5"/>
  <c r="Z544" i="5"/>
  <c r="Z92" i="5"/>
  <c r="Z538" i="5"/>
  <c r="Z284" i="5"/>
  <c r="Z553" i="5"/>
  <c r="Z297" i="5"/>
  <c r="Z381" i="5"/>
  <c r="Z70" i="5"/>
  <c r="Z217" i="5"/>
  <c r="Z403" i="5"/>
  <c r="Z328" i="5"/>
  <c r="Z294" i="5"/>
  <c r="Z309" i="5"/>
  <c r="Z53" i="5"/>
  <c r="Z235" i="5"/>
  <c r="Z423" i="5"/>
  <c r="Z125" i="5"/>
  <c r="Z93" i="5"/>
  <c r="Z261" i="5"/>
  <c r="Z541" i="5"/>
  <c r="Z40" i="5"/>
  <c r="Z434" i="5"/>
  <c r="Z151" i="5"/>
  <c r="Z396" i="5"/>
  <c r="Z238" i="5"/>
  <c r="Z424" i="5"/>
  <c r="Z477" i="5"/>
  <c r="Z32" i="5"/>
  <c r="Z548" i="5"/>
  <c r="Z52" i="5"/>
  <c r="Z83" i="5"/>
  <c r="Z113" i="5"/>
  <c r="Z468" i="5"/>
  <c r="Z535" i="5"/>
  <c r="Z295" i="5"/>
  <c r="Z307" i="5"/>
  <c r="Z121" i="5"/>
  <c r="Z526" i="5"/>
  <c r="Z532" i="5"/>
  <c r="Z108" i="5"/>
  <c r="Z316" i="5"/>
  <c r="Z277" i="5"/>
  <c r="Z29" i="5"/>
  <c r="Z173" i="5"/>
  <c r="Z364" i="5"/>
  <c r="Z334" i="5"/>
  <c r="Z58" i="5"/>
  <c r="Z176" i="5"/>
  <c r="Z358" i="5"/>
  <c r="Z359" i="5"/>
  <c r="Z360" i="5"/>
  <c r="Z394" i="5"/>
  <c r="Z109" i="5"/>
  <c r="Z132" i="5"/>
  <c r="Z174" i="5"/>
  <c r="Z224" i="5"/>
  <c r="Z463" i="5"/>
  <c r="Z154" i="5"/>
  <c r="Z545" i="5"/>
  <c r="Z479" i="5"/>
  <c r="Z397" i="5"/>
  <c r="Z404" i="5"/>
  <c r="Z425" i="5"/>
  <c r="Z153" i="5"/>
  <c r="Z560" i="5"/>
  <c r="Z329" i="5"/>
  <c r="Z105" i="5"/>
  <c r="Z383" i="5"/>
  <c r="Z253" i="5"/>
  <c r="Z21" i="5"/>
  <c r="Z398" i="5"/>
  <c r="Z201" i="5"/>
  <c r="Z102" i="5"/>
  <c r="Z427" i="5"/>
  <c r="Z185" i="5"/>
  <c r="Z49" i="5"/>
  <c r="Z188" i="5"/>
  <c r="Z341" i="5"/>
  <c r="Z293" i="5"/>
  <c r="Z210" i="5"/>
  <c r="Z225" i="5"/>
  <c r="Z219" i="5"/>
  <c r="Z101" i="5"/>
  <c r="Z157" i="5"/>
  <c r="Z289" i="5"/>
  <c r="Z249" i="5"/>
  <c r="Z150" i="5"/>
  <c r="Z136" i="5"/>
  <c r="Z557" i="5"/>
  <c r="Z419" i="5"/>
  <c r="Z164" i="5"/>
  <c r="Z99" i="5"/>
  <c r="Z162" i="5"/>
  <c r="Z453" i="5"/>
  <c r="Z371" i="5"/>
  <c r="Z323" i="5"/>
  <c r="Z520" i="5"/>
  <c r="Z248" i="5"/>
  <c r="Z344" i="5"/>
  <c r="Z385" i="5"/>
  <c r="Z345" i="5"/>
  <c r="Z281" i="5"/>
  <c r="Z67" i="5"/>
  <c r="Z444" i="5"/>
  <c r="Z388" i="5"/>
  <c r="Z454" i="5"/>
  <c r="Z441" i="5"/>
  <c r="Z451" i="5"/>
  <c r="Z420" i="5"/>
  <c r="Z304" i="5"/>
  <c r="Z556" i="5"/>
  <c r="Z243" i="5"/>
  <c r="Z41" i="5"/>
  <c r="Z357" i="5"/>
  <c r="AB7" i="5"/>
  <c r="AA7" i="5"/>
  <c r="AB357" i="5" l="1"/>
  <c r="AA357" i="5"/>
  <c r="AA304" i="5"/>
  <c r="AB304" i="5"/>
  <c r="AB454" i="5"/>
  <c r="AA454" i="5"/>
  <c r="AA281" i="5"/>
  <c r="AB281" i="5"/>
  <c r="AB248" i="5"/>
  <c r="AA248" i="5"/>
  <c r="AB453" i="5"/>
  <c r="AA453" i="5"/>
  <c r="AB419" i="5"/>
  <c r="AA419" i="5"/>
  <c r="AB249" i="5"/>
  <c r="AA249" i="5"/>
  <c r="AB219" i="5"/>
  <c r="AA219" i="5"/>
  <c r="AB341" i="5"/>
  <c r="AA341" i="5"/>
  <c r="AB427" i="5"/>
  <c r="AA427" i="5"/>
  <c r="AA21" i="5"/>
  <c r="AB21" i="5"/>
  <c r="AA329" i="5"/>
  <c r="AB329" i="5"/>
  <c r="AB404" i="5"/>
  <c r="AA404" i="5"/>
  <c r="AB154" i="5"/>
  <c r="AA154" i="5"/>
  <c r="AB132" i="5"/>
  <c r="AA132" i="5"/>
  <c r="AB359" i="5"/>
  <c r="AA359" i="5"/>
  <c r="AB334" i="5"/>
  <c r="AA334" i="5"/>
  <c r="AA277" i="5"/>
  <c r="AB277" i="5"/>
  <c r="AA526" i="5"/>
  <c r="AB526" i="5"/>
  <c r="AB535" i="5"/>
  <c r="AA535" i="5"/>
  <c r="AB52" i="5"/>
  <c r="AA52" i="5"/>
  <c r="AB424" i="5"/>
  <c r="AA424" i="5"/>
  <c r="AA434" i="5"/>
  <c r="AB434" i="5"/>
  <c r="AB93" i="5"/>
  <c r="AA93" i="5"/>
  <c r="AB53" i="5"/>
  <c r="AA53" i="5"/>
  <c r="AA403" i="5"/>
  <c r="AB403" i="5"/>
  <c r="AA297" i="5"/>
  <c r="AB297" i="5"/>
  <c r="AA92" i="5"/>
  <c r="AB92" i="5"/>
  <c r="AA255" i="5"/>
  <c r="AB255" i="5"/>
  <c r="AA382" i="5"/>
  <c r="AB382" i="5"/>
  <c r="AA438" i="5"/>
  <c r="AB438" i="5"/>
  <c r="AA271" i="5"/>
  <c r="AB271" i="5"/>
  <c r="AA416" i="5"/>
  <c r="AB416" i="5"/>
  <c r="AA491" i="5"/>
  <c r="AB491" i="5"/>
  <c r="AB60" i="5"/>
  <c r="AA60" i="5"/>
  <c r="AA462" i="5"/>
  <c r="AB462" i="5"/>
  <c r="AA333" i="5"/>
  <c r="AB333" i="5"/>
  <c r="AB469" i="5"/>
  <c r="AA469" i="5"/>
  <c r="AA389" i="5"/>
  <c r="AB389" i="5"/>
  <c r="AA390" i="5"/>
  <c r="AB390" i="5"/>
  <c r="AA54" i="5"/>
  <c r="AB54" i="5"/>
  <c r="AA495" i="5"/>
  <c r="AB495" i="5"/>
  <c r="AB111" i="5"/>
  <c r="AA111" i="5"/>
  <c r="AB194" i="5"/>
  <c r="AA194" i="5"/>
  <c r="AB145" i="5"/>
  <c r="AA145" i="5"/>
  <c r="AA531" i="5"/>
  <c r="AB531" i="5"/>
  <c r="AA411" i="5"/>
  <c r="AB411" i="5"/>
  <c r="AB128" i="5"/>
  <c r="AA128" i="5"/>
  <c r="AB536" i="5"/>
  <c r="AA536" i="5"/>
  <c r="AB418" i="5"/>
  <c r="AA418" i="5"/>
  <c r="AB366" i="5"/>
  <c r="AA366" i="5"/>
  <c r="AA172" i="5"/>
  <c r="AB172" i="5"/>
  <c r="AA273" i="5"/>
  <c r="AB273" i="5"/>
  <c r="AA216" i="5"/>
  <c r="AB216" i="5"/>
  <c r="AB142" i="5"/>
  <c r="AA142" i="5"/>
  <c r="AA485" i="5"/>
  <c r="AB485" i="5"/>
  <c r="AB12" i="5"/>
  <c r="AA12" i="5"/>
  <c r="AB496" i="5"/>
  <c r="AA496" i="5"/>
  <c r="AA502" i="5"/>
  <c r="AB502" i="5"/>
  <c r="AA527" i="5"/>
  <c r="AB527" i="5"/>
  <c r="AA23" i="5"/>
  <c r="AB23" i="5"/>
  <c r="AB499" i="5"/>
  <c r="AA499" i="5"/>
  <c r="AA115" i="5"/>
  <c r="AB115" i="5"/>
  <c r="AA186" i="5"/>
  <c r="AB186" i="5"/>
  <c r="AB552" i="5"/>
  <c r="AA552" i="5"/>
  <c r="AA90" i="5"/>
  <c r="AB90" i="5"/>
  <c r="AB130" i="5"/>
  <c r="AA130" i="5"/>
  <c r="AA47" i="5"/>
  <c r="AB47" i="5"/>
  <c r="AA114" i="5"/>
  <c r="AB114" i="5"/>
  <c r="AA215" i="5"/>
  <c r="AB215" i="5"/>
  <c r="AA285" i="5"/>
  <c r="AB285" i="5"/>
  <c r="AA456" i="5"/>
  <c r="AB456" i="5"/>
  <c r="AA505" i="5"/>
  <c r="AB505" i="5"/>
  <c r="AB112" i="5"/>
  <c r="AA112" i="5"/>
  <c r="AB367" i="5"/>
  <c r="AA367" i="5"/>
  <c r="AA537" i="5"/>
  <c r="AB537" i="5"/>
  <c r="AA134" i="5"/>
  <c r="AB134" i="5"/>
  <c r="AB300" i="5"/>
  <c r="AA300" i="5"/>
  <c r="AB487" i="5"/>
  <c r="AA487" i="5"/>
  <c r="AB77" i="5"/>
  <c r="AA77" i="5"/>
  <c r="AA230" i="5"/>
  <c r="AB230" i="5"/>
  <c r="AB242" i="5"/>
  <c r="AA242" i="5"/>
  <c r="AA187" i="5"/>
  <c r="AB187" i="5"/>
  <c r="AA116" i="5"/>
  <c r="AB116" i="5"/>
  <c r="AA507" i="5"/>
  <c r="AB507" i="5"/>
  <c r="AB336" i="5"/>
  <c r="AA336" i="5"/>
  <c r="AA26" i="5"/>
  <c r="AB26" i="5"/>
  <c r="AA146" i="5"/>
  <c r="AB146" i="5"/>
  <c r="AB161" i="5"/>
  <c r="AA161" i="5"/>
  <c r="AA516" i="5"/>
  <c r="AB516" i="5"/>
  <c r="AA124" i="5"/>
  <c r="AB124" i="5"/>
  <c r="AA522" i="5"/>
  <c r="AB522" i="5"/>
  <c r="AB165" i="5"/>
  <c r="AA165" i="5"/>
  <c r="AB503" i="5"/>
  <c r="AA503" i="5"/>
  <c r="AA184" i="5"/>
  <c r="AB184" i="5"/>
  <c r="AB190" i="5"/>
  <c r="AA190" i="5"/>
  <c r="AA137" i="5"/>
  <c r="AB137" i="5"/>
  <c r="AA24" i="5"/>
  <c r="AB24" i="5"/>
  <c r="AB234" i="5"/>
  <c r="AA234" i="5"/>
  <c r="AA106" i="5"/>
  <c r="AB106" i="5"/>
  <c r="AB8" i="5"/>
  <c r="AA8" i="5"/>
  <c r="AB159" i="5"/>
  <c r="AA159" i="5"/>
  <c r="AB483" i="5"/>
  <c r="AA483" i="5"/>
  <c r="AA317" i="5"/>
  <c r="AB317" i="5"/>
  <c r="AB320" i="5"/>
  <c r="AA320" i="5"/>
  <c r="AB84" i="5"/>
  <c r="AA84" i="5"/>
  <c r="AA169" i="5"/>
  <c r="AB169" i="5"/>
  <c r="AA408" i="5"/>
  <c r="AB408" i="5"/>
  <c r="AA450" i="5"/>
  <c r="AB450" i="5"/>
  <c r="AA222" i="5"/>
  <c r="AB222" i="5"/>
  <c r="AB65" i="5"/>
  <c r="AA65" i="5"/>
  <c r="AA449" i="5"/>
  <c r="AB449" i="5"/>
  <c r="AA414" i="5"/>
  <c r="AB414" i="5"/>
  <c r="AB63" i="5"/>
  <c r="AA63" i="5"/>
  <c r="AB409" i="5"/>
  <c r="AA409" i="5"/>
  <c r="AA13" i="5"/>
  <c r="AB13" i="5"/>
  <c r="AA119" i="5"/>
  <c r="AB119" i="5"/>
  <c r="AB352" i="5"/>
  <c r="AA352" i="5"/>
  <c r="AA431" i="5"/>
  <c r="AB431" i="5"/>
  <c r="AB196" i="5"/>
  <c r="AA196" i="5"/>
  <c r="AB542" i="5"/>
  <c r="AA542" i="5"/>
  <c r="AB543" i="5"/>
  <c r="AA543" i="5"/>
  <c r="AA202" i="5"/>
  <c r="AB202" i="5"/>
  <c r="AB182" i="5"/>
  <c r="AA182" i="5"/>
  <c r="AA435" i="5"/>
  <c r="AB435" i="5"/>
  <c r="AA98" i="5"/>
  <c r="AB98" i="5"/>
  <c r="AB348" i="5"/>
  <c r="AA348" i="5"/>
  <c r="AB510" i="5"/>
  <c r="AA510" i="5"/>
  <c r="AA288" i="5"/>
  <c r="AB288" i="5"/>
  <c r="AB107" i="5"/>
  <c r="AA107" i="5"/>
  <c r="AA34" i="5"/>
  <c r="AB34" i="5"/>
  <c r="AA378" i="5"/>
  <c r="AB378" i="5"/>
  <c r="AA337" i="5"/>
  <c r="AB337" i="5"/>
  <c r="AA246" i="5"/>
  <c r="AB246" i="5"/>
  <c r="AA80" i="5"/>
  <c r="AB80" i="5"/>
  <c r="AB375" i="5"/>
  <c r="AA375" i="5"/>
  <c r="AA41" i="5"/>
  <c r="AB41" i="5"/>
  <c r="AB420" i="5"/>
  <c r="AA420" i="5"/>
  <c r="AB388" i="5"/>
  <c r="AA388" i="5"/>
  <c r="AB345" i="5"/>
  <c r="AA345" i="5"/>
  <c r="AA520" i="5"/>
  <c r="AB520" i="5"/>
  <c r="AA162" i="5"/>
  <c r="AB162" i="5"/>
  <c r="AA557" i="5"/>
  <c r="AB557" i="5"/>
  <c r="AB289" i="5"/>
  <c r="AA289" i="5"/>
  <c r="AB225" i="5"/>
  <c r="AA225" i="5"/>
  <c r="AB188" i="5"/>
  <c r="AA188" i="5"/>
  <c r="AA102" i="5"/>
  <c r="AB102" i="5"/>
  <c r="AB253" i="5"/>
  <c r="AA253" i="5"/>
  <c r="AB560" i="5"/>
  <c r="AA560" i="5"/>
  <c r="AA397" i="5"/>
  <c r="AB397" i="5"/>
  <c r="AB463" i="5"/>
  <c r="AA463" i="5"/>
  <c r="AB109" i="5"/>
  <c r="AA109" i="5"/>
  <c r="AB358" i="5"/>
  <c r="AA358" i="5"/>
  <c r="AA364" i="5"/>
  <c r="AB364" i="5"/>
  <c r="AA316" i="5"/>
  <c r="AB316" i="5"/>
  <c r="AA121" i="5"/>
  <c r="AB121" i="5"/>
  <c r="AA468" i="5"/>
  <c r="AB468" i="5"/>
  <c r="AB548" i="5"/>
  <c r="AA548" i="5"/>
  <c r="AB238" i="5"/>
  <c r="AA238" i="5"/>
  <c r="AB40" i="5"/>
  <c r="AA40" i="5"/>
  <c r="AA125" i="5"/>
  <c r="AB125" i="5"/>
  <c r="AB309" i="5"/>
  <c r="AA309" i="5"/>
  <c r="AB217" i="5"/>
  <c r="AA217" i="5"/>
  <c r="AA553" i="5"/>
  <c r="AB553" i="5"/>
  <c r="AB544" i="5"/>
  <c r="AA544" i="5"/>
  <c r="AA133" i="5"/>
  <c r="AB133" i="5"/>
  <c r="AA267" i="5"/>
  <c r="AB267" i="5"/>
  <c r="AB209" i="5"/>
  <c r="AA209" i="5"/>
  <c r="AA559" i="5"/>
  <c r="AB559" i="5"/>
  <c r="AB291" i="5"/>
  <c r="AA291" i="5"/>
  <c r="AA305" i="5"/>
  <c r="AB305" i="5"/>
  <c r="AB558" i="5"/>
  <c r="AA558" i="5"/>
  <c r="AB97" i="5"/>
  <c r="AA97" i="5"/>
  <c r="AA314" i="5"/>
  <c r="AB314" i="5"/>
  <c r="AB497" i="5"/>
  <c r="AA497" i="5"/>
  <c r="AB374" i="5"/>
  <c r="AA374" i="5"/>
  <c r="AB372" i="5"/>
  <c r="AA372" i="5"/>
  <c r="AA355" i="5"/>
  <c r="AB355" i="5"/>
  <c r="AB303" i="5"/>
  <c r="AA303" i="5"/>
  <c r="AA120" i="5"/>
  <c r="AB120" i="5"/>
  <c r="AB481" i="5"/>
  <c r="AA481" i="5"/>
  <c r="AA104" i="5"/>
  <c r="AB104" i="5"/>
  <c r="AB443" i="5"/>
  <c r="AA443" i="5"/>
  <c r="AA524" i="5"/>
  <c r="AB524" i="5"/>
  <c r="AB504" i="5"/>
  <c r="AA504" i="5"/>
  <c r="AA178" i="5"/>
  <c r="AB178" i="5"/>
  <c r="AB263" i="5"/>
  <c r="AA263" i="5"/>
  <c r="AA94" i="5"/>
  <c r="AB94" i="5"/>
  <c r="AA330" i="5"/>
  <c r="AB330" i="5"/>
  <c r="AB276" i="5"/>
  <c r="AA276" i="5"/>
  <c r="AB457" i="5"/>
  <c r="AA457" i="5"/>
  <c r="AB226" i="5"/>
  <c r="AA226" i="5"/>
  <c r="AA318" i="5"/>
  <c r="AB318" i="5"/>
  <c r="AB179" i="5"/>
  <c r="AA179" i="5"/>
  <c r="AA282" i="5"/>
  <c r="AB282" i="5"/>
  <c r="AB166" i="5"/>
  <c r="AA166" i="5"/>
  <c r="AA480" i="5"/>
  <c r="AB480" i="5"/>
  <c r="AB494" i="5"/>
  <c r="AA494" i="5"/>
  <c r="AA464" i="5"/>
  <c r="AB464" i="5"/>
  <c r="AA471" i="5"/>
  <c r="AB471" i="5"/>
  <c r="AA27" i="5"/>
  <c r="AB27" i="5"/>
  <c r="AB475" i="5"/>
  <c r="AA475" i="5"/>
  <c r="AB204" i="5"/>
  <c r="AA204" i="5"/>
  <c r="AA440" i="5"/>
  <c r="AB440" i="5"/>
  <c r="AB426" i="5"/>
  <c r="AA426" i="5"/>
  <c r="AA518" i="5"/>
  <c r="AB518" i="5"/>
  <c r="AA19" i="5"/>
  <c r="AB19" i="5"/>
  <c r="AB221" i="5"/>
  <c r="AA221" i="5"/>
  <c r="AA470" i="5"/>
  <c r="AB470" i="5"/>
  <c r="AA144" i="5"/>
  <c r="AB144" i="5"/>
  <c r="AA66" i="5"/>
  <c r="AB66" i="5"/>
  <c r="AA79" i="5"/>
  <c r="AB79" i="5"/>
  <c r="AB240" i="5"/>
  <c r="AA240" i="5"/>
  <c r="AB338" i="5"/>
  <c r="AA338" i="5"/>
  <c r="AB193" i="5"/>
  <c r="AA193" i="5"/>
  <c r="AA177" i="5"/>
  <c r="AB177" i="5"/>
  <c r="AA354" i="5"/>
  <c r="AB354" i="5"/>
  <c r="AB473" i="5"/>
  <c r="AA473" i="5"/>
  <c r="AB362" i="5"/>
  <c r="AA362" i="5"/>
  <c r="AA429" i="5"/>
  <c r="AB429" i="5"/>
  <c r="AB365" i="5"/>
  <c r="AA365" i="5"/>
  <c r="AB200" i="5"/>
  <c r="AA200" i="5"/>
  <c r="AB433" i="5"/>
  <c r="AA433" i="5"/>
  <c r="AB484" i="5"/>
  <c r="AA484" i="5"/>
  <c r="AB43" i="5"/>
  <c r="AA43" i="5"/>
  <c r="AA356" i="5"/>
  <c r="AB356" i="5"/>
  <c r="AA163" i="5"/>
  <c r="AB163" i="5"/>
  <c r="AA131" i="5"/>
  <c r="AB131" i="5"/>
  <c r="AA439" i="5"/>
  <c r="AB439" i="5"/>
  <c r="AA322" i="5"/>
  <c r="AB322" i="5"/>
  <c r="AA327" i="5"/>
  <c r="AB327" i="5"/>
  <c r="AA138" i="5"/>
  <c r="AB138" i="5"/>
  <c r="AB218" i="5"/>
  <c r="AA218" i="5"/>
  <c r="AB129" i="5"/>
  <c r="AA129" i="5"/>
  <c r="AA361" i="5"/>
  <c r="AB361" i="5"/>
  <c r="AA312" i="5"/>
  <c r="AB312" i="5"/>
  <c r="AA81" i="5"/>
  <c r="AB81" i="5"/>
  <c r="AA100" i="5"/>
  <c r="AB100" i="5"/>
  <c r="AA241" i="5"/>
  <c r="AB241" i="5"/>
  <c r="AB488" i="5"/>
  <c r="AA488" i="5"/>
  <c r="AB205" i="5"/>
  <c r="AA205" i="5"/>
  <c r="AB299" i="5"/>
  <c r="AA299" i="5"/>
  <c r="AB402" i="5"/>
  <c r="AA402" i="5"/>
  <c r="AA335" i="5"/>
  <c r="AB335" i="5"/>
  <c r="AB549" i="5"/>
  <c r="AA549" i="5"/>
  <c r="AB447" i="5"/>
  <c r="AA447" i="5"/>
  <c r="AA192" i="5"/>
  <c r="AB192" i="5"/>
  <c r="AB486" i="5"/>
  <c r="AA486" i="5"/>
  <c r="AA346" i="5"/>
  <c r="AB346" i="5"/>
  <c r="AA363" i="5"/>
  <c r="AB363" i="5"/>
  <c r="AB88" i="5"/>
  <c r="AA88" i="5"/>
  <c r="AB223" i="5"/>
  <c r="AA223" i="5"/>
  <c r="AA342" i="5"/>
  <c r="AB342" i="5"/>
  <c r="AB278" i="5"/>
  <c r="AA278" i="5"/>
  <c r="AA530" i="5"/>
  <c r="AB530" i="5"/>
  <c r="AB432" i="5"/>
  <c r="AA432" i="5"/>
  <c r="AA490" i="5"/>
  <c r="AB490" i="5"/>
  <c r="AB62" i="5"/>
  <c r="AA62" i="5"/>
  <c r="AA57" i="5"/>
  <c r="AB57" i="5"/>
  <c r="AB259" i="5"/>
  <c r="AA259" i="5"/>
  <c r="AA181" i="5"/>
  <c r="AB181" i="5"/>
  <c r="AA78" i="5"/>
  <c r="AB78" i="5"/>
  <c r="AA376" i="5"/>
  <c r="AB376" i="5"/>
  <c r="AA509" i="5"/>
  <c r="AB509" i="5"/>
  <c r="AA233" i="5"/>
  <c r="AB233" i="5"/>
  <c r="AA554" i="5"/>
  <c r="AB554" i="5"/>
  <c r="AA417" i="5"/>
  <c r="AB417" i="5"/>
  <c r="AB379" i="5"/>
  <c r="AA379" i="5"/>
  <c r="AB211" i="5"/>
  <c r="AA211" i="5"/>
  <c r="AB528" i="5"/>
  <c r="AA528" i="5"/>
  <c r="AA459" i="5"/>
  <c r="AB459" i="5"/>
  <c r="AB350" i="5"/>
  <c r="AA350" i="5"/>
  <c r="AA243" i="5"/>
  <c r="AB243" i="5"/>
  <c r="AB451" i="5"/>
  <c r="AA451" i="5"/>
  <c r="AA444" i="5"/>
  <c r="AB444" i="5"/>
  <c r="AB385" i="5"/>
  <c r="AA385" i="5"/>
  <c r="AA323" i="5"/>
  <c r="AB323" i="5"/>
  <c r="AA99" i="5"/>
  <c r="AB99" i="5"/>
  <c r="AB136" i="5"/>
  <c r="AA136" i="5"/>
  <c r="AA157" i="5"/>
  <c r="AB157" i="5"/>
  <c r="AB210" i="5"/>
  <c r="AA210" i="5"/>
  <c r="AB49" i="5"/>
  <c r="AA49" i="5"/>
  <c r="AB201" i="5"/>
  <c r="AA201" i="5"/>
  <c r="AB383" i="5"/>
  <c r="AA383" i="5"/>
  <c r="AA153" i="5"/>
  <c r="AB153" i="5"/>
  <c r="AB479" i="5"/>
  <c r="AA479" i="5"/>
  <c r="AB224" i="5"/>
  <c r="AA224" i="5"/>
  <c r="AB394" i="5"/>
  <c r="AA394" i="5"/>
  <c r="AB176" i="5"/>
  <c r="AA176" i="5"/>
  <c r="AB173" i="5"/>
  <c r="AA173" i="5"/>
  <c r="AB108" i="5"/>
  <c r="AA108" i="5"/>
  <c r="AA307" i="5"/>
  <c r="AB307" i="5"/>
  <c r="AA113" i="5"/>
  <c r="AB113" i="5"/>
  <c r="AB32" i="5"/>
  <c r="AA32" i="5"/>
  <c r="AB396" i="5"/>
  <c r="AA396" i="5"/>
  <c r="AA541" i="5"/>
  <c r="AB541" i="5"/>
  <c r="AA423" i="5"/>
  <c r="AB423" i="5"/>
  <c r="AB294" i="5"/>
  <c r="AA294" i="5"/>
  <c r="AB70" i="5"/>
  <c r="AA70" i="5"/>
  <c r="AB284" i="5"/>
  <c r="AA284" i="5"/>
  <c r="AB42" i="5"/>
  <c r="AA42" i="5"/>
  <c r="AA268" i="5"/>
  <c r="AB268" i="5"/>
  <c r="AB286" i="5"/>
  <c r="AA286" i="5"/>
  <c r="AB392" i="5"/>
  <c r="AA392" i="5"/>
  <c r="AA158" i="5"/>
  <c r="AB158" i="5"/>
  <c r="AB250" i="5"/>
  <c r="AA250" i="5"/>
  <c r="AA489" i="5"/>
  <c r="AB489" i="5"/>
  <c r="AA551" i="5"/>
  <c r="AB551" i="5"/>
  <c r="AA160" i="5"/>
  <c r="AB160" i="5"/>
  <c r="AB340" i="5"/>
  <c r="AA340" i="5"/>
  <c r="AB117" i="5"/>
  <c r="AA117" i="5"/>
  <c r="AB519" i="5"/>
  <c r="AA519" i="5"/>
  <c r="AA220" i="5"/>
  <c r="AB220" i="5"/>
  <c r="AB437" i="5"/>
  <c r="AA437" i="5"/>
  <c r="AA478" i="5"/>
  <c r="AB478" i="5"/>
  <c r="AA550" i="5"/>
  <c r="AB550" i="5"/>
  <c r="AB167" i="5"/>
  <c r="AA167" i="5"/>
  <c r="AB155" i="5"/>
  <c r="AA155" i="5"/>
  <c r="AA56" i="5"/>
  <c r="AB56" i="5"/>
  <c r="AA86" i="5"/>
  <c r="AB86" i="5"/>
  <c r="AA472" i="5"/>
  <c r="AB472" i="5"/>
  <c r="AB189" i="5"/>
  <c r="AA189" i="5"/>
  <c r="AA292" i="5"/>
  <c r="AB292" i="5"/>
  <c r="AB391" i="5"/>
  <c r="AA391" i="5"/>
  <c r="AB123" i="5"/>
  <c r="AA123" i="5"/>
  <c r="AA227" i="5"/>
  <c r="AB227" i="5"/>
  <c r="AB37" i="5"/>
  <c r="AA37" i="5"/>
  <c r="AB147" i="5"/>
  <c r="AA147" i="5"/>
  <c r="AB290" i="5"/>
  <c r="AA290" i="5"/>
  <c r="AB251" i="5"/>
  <c r="AA251" i="5"/>
  <c r="AB421" i="5"/>
  <c r="AA421" i="5"/>
  <c r="AA168" i="5"/>
  <c r="AB168" i="5"/>
  <c r="AA126" i="5"/>
  <c r="AB126" i="5"/>
  <c r="AA103" i="5"/>
  <c r="AB103" i="5"/>
  <c r="AB369" i="5"/>
  <c r="AA369" i="5"/>
  <c r="AA61" i="5"/>
  <c r="AB61" i="5"/>
  <c r="AB272" i="5"/>
  <c r="AA272" i="5"/>
  <c r="AA118" i="5"/>
  <c r="AB118" i="5"/>
  <c r="AA266" i="5"/>
  <c r="AB266" i="5"/>
  <c r="AB195" i="5"/>
  <c r="AA195" i="5"/>
  <c r="AA287" i="5"/>
  <c r="AB287" i="5"/>
  <c r="AB270" i="5"/>
  <c r="AA270" i="5"/>
  <c r="AA428" i="5"/>
  <c r="AB428" i="5"/>
  <c r="AB351" i="5"/>
  <c r="AA351" i="5"/>
  <c r="AA387" i="5"/>
  <c r="AB387" i="5"/>
  <c r="AB513" i="5"/>
  <c r="AA513" i="5"/>
  <c r="AA373" i="5"/>
  <c r="AB373" i="5"/>
  <c r="AA180" i="5"/>
  <c r="AB180" i="5"/>
  <c r="AB311" i="5"/>
  <c r="AA311" i="5"/>
  <c r="AA445" i="5"/>
  <c r="AB445" i="5"/>
  <c r="AA38" i="5"/>
  <c r="AB38" i="5"/>
  <c r="AB69" i="5"/>
  <c r="AA69" i="5"/>
  <c r="AA72" i="5"/>
  <c r="AB72" i="5"/>
  <c r="AA35" i="5"/>
  <c r="AB35" i="5"/>
  <c r="AB555" i="5"/>
  <c r="AA555" i="5"/>
  <c r="AA546" i="5"/>
  <c r="AB546" i="5"/>
  <c r="AA448" i="5"/>
  <c r="AB448" i="5"/>
  <c r="AB96" i="5"/>
  <c r="AA96" i="5"/>
  <c r="AB319" i="5"/>
  <c r="AA319" i="5"/>
  <c r="AA237" i="5"/>
  <c r="AB237" i="5"/>
  <c r="AA430" i="5"/>
  <c r="AB430" i="5"/>
  <c r="AB183" i="5"/>
  <c r="AA183" i="5"/>
  <c r="AA95" i="5"/>
  <c r="AB95" i="5"/>
  <c r="AA245" i="5"/>
  <c r="AB245" i="5"/>
  <c r="AA76" i="5"/>
  <c r="AB76" i="5"/>
  <c r="AB89" i="5"/>
  <c r="AA89" i="5"/>
  <c r="AB44" i="5"/>
  <c r="AA44" i="5"/>
  <c r="AB135" i="5"/>
  <c r="AA135" i="5"/>
  <c r="AB283" i="5"/>
  <c r="AA283" i="5"/>
  <c r="AB514" i="5"/>
  <c r="AA514" i="5"/>
  <c r="AA461" i="5"/>
  <c r="AB461" i="5"/>
  <c r="AB68" i="5"/>
  <c r="AA68" i="5"/>
  <c r="AA500" i="5"/>
  <c r="AB500" i="5"/>
  <c r="AA191" i="5"/>
  <c r="AB191" i="5"/>
  <c r="AA436" i="5"/>
  <c r="AB436" i="5"/>
  <c r="AA377" i="5"/>
  <c r="AB377" i="5"/>
  <c r="AB51" i="5"/>
  <c r="AA51" i="5"/>
  <c r="AA331" i="5"/>
  <c r="AB331" i="5"/>
  <c r="AA492" i="5"/>
  <c r="AB492" i="5"/>
  <c r="AB197" i="5"/>
  <c r="AA197" i="5"/>
  <c r="AA232" i="5"/>
  <c r="AB232" i="5"/>
  <c r="AB71" i="5"/>
  <c r="AA71" i="5"/>
  <c r="AB20" i="5"/>
  <c r="AA20" i="5"/>
  <c r="AA257" i="5"/>
  <c r="AB257" i="5"/>
  <c r="AA239" i="5"/>
  <c r="AB239" i="5"/>
  <c r="AA82" i="5"/>
  <c r="AB82" i="5"/>
  <c r="AB460" i="5"/>
  <c r="AA460" i="5"/>
  <c r="AB274" i="5"/>
  <c r="AA274" i="5"/>
  <c r="AB410" i="5"/>
  <c r="AA410" i="5"/>
  <c r="AB264" i="5"/>
  <c r="AA264" i="5"/>
  <c r="AA149" i="5"/>
  <c r="AB149" i="5"/>
  <c r="AB45" i="5"/>
  <c r="AA45" i="5"/>
  <c r="AA401" i="5"/>
  <c r="AB401" i="5"/>
  <c r="AA529" i="5"/>
  <c r="AB529" i="5"/>
  <c r="AA91" i="5"/>
  <c r="AB91" i="5"/>
  <c r="AB405" i="5"/>
  <c r="AA405" i="5"/>
  <c r="AB175" i="5"/>
  <c r="AA175" i="5"/>
  <c r="AA501" i="5"/>
  <c r="AB501" i="5"/>
  <c r="AA31" i="5"/>
  <c r="AB31" i="5"/>
  <c r="AA244" i="5"/>
  <c r="AB244" i="5"/>
  <c r="AB260" i="5"/>
  <c r="AA260" i="5"/>
  <c r="AB170" i="5"/>
  <c r="AA170" i="5"/>
  <c r="AA539" i="5"/>
  <c r="AB539" i="5"/>
  <c r="AB512" i="5"/>
  <c r="AA512" i="5"/>
  <c r="AA406" i="5"/>
  <c r="AB406" i="5"/>
  <c r="AB343" i="5"/>
  <c r="AA343" i="5"/>
  <c r="AB452" i="5"/>
  <c r="AA452" i="5"/>
  <c r="AA353" i="5"/>
  <c r="AB353" i="5"/>
  <c r="AA556" i="5"/>
  <c r="AB556" i="5"/>
  <c r="AB441" i="5"/>
  <c r="AA441" i="5"/>
  <c r="AB67" i="5"/>
  <c r="AA67" i="5"/>
  <c r="AA344" i="5"/>
  <c r="AB344" i="5"/>
  <c r="AA371" i="5"/>
  <c r="AB371" i="5"/>
  <c r="AA164" i="5"/>
  <c r="AB164" i="5"/>
  <c r="AB150" i="5"/>
  <c r="AA150" i="5"/>
  <c r="AA101" i="5"/>
  <c r="AB101" i="5"/>
  <c r="AA293" i="5"/>
  <c r="AB293" i="5"/>
  <c r="AB185" i="5"/>
  <c r="AA185" i="5"/>
  <c r="AB398" i="5"/>
  <c r="AA398" i="5"/>
  <c r="AA105" i="5"/>
  <c r="AB105" i="5"/>
  <c r="AB425" i="5"/>
  <c r="AA425" i="5"/>
  <c r="AA545" i="5"/>
  <c r="AB545" i="5"/>
  <c r="AA174" i="5"/>
  <c r="AB174" i="5"/>
  <c r="AA360" i="5"/>
  <c r="AB360" i="5"/>
  <c r="AB58" i="5"/>
  <c r="AA58" i="5"/>
  <c r="AA29" i="5"/>
  <c r="AB29" i="5"/>
  <c r="AA532" i="5"/>
  <c r="AB532" i="5"/>
  <c r="AB295" i="5"/>
  <c r="AA295" i="5"/>
  <c r="AB83" i="5"/>
  <c r="AA83" i="5"/>
  <c r="AB477" i="5"/>
  <c r="AA477" i="5"/>
  <c r="AA151" i="5"/>
  <c r="AB151" i="5"/>
  <c r="AB261" i="5"/>
  <c r="AA261" i="5"/>
  <c r="AA235" i="5"/>
  <c r="AB235" i="5"/>
  <c r="AB328" i="5"/>
  <c r="AA328" i="5"/>
  <c r="AB381" i="5"/>
  <c r="AA381" i="5"/>
  <c r="AA538" i="5"/>
  <c r="AB538" i="5"/>
  <c r="AB540" i="5"/>
  <c r="AA540" i="5"/>
  <c r="AA298" i="5"/>
  <c r="AB298" i="5"/>
  <c r="AA74" i="5"/>
  <c r="AB74" i="5"/>
  <c r="AB370" i="5"/>
  <c r="AA370" i="5"/>
  <c r="AA231" i="5"/>
  <c r="AB231" i="5"/>
  <c r="AA384" i="5"/>
  <c r="AB384" i="5"/>
  <c r="AA523" i="5"/>
  <c r="AB523" i="5"/>
  <c r="AA214" i="5"/>
  <c r="AB214" i="5"/>
  <c r="AA140" i="5"/>
  <c r="AB140" i="5"/>
  <c r="AA326" i="5"/>
  <c r="AB326" i="5"/>
  <c r="AA213" i="5"/>
  <c r="AB213" i="5"/>
  <c r="AA73" i="5"/>
  <c r="AB73" i="5"/>
  <c r="AA339" i="5"/>
  <c r="AB339" i="5"/>
  <c r="AA258" i="5"/>
  <c r="AB258" i="5"/>
  <c r="AA508" i="5"/>
  <c r="AB508" i="5"/>
  <c r="AA517" i="5"/>
  <c r="AB517" i="5"/>
  <c r="AB466" i="5"/>
  <c r="AA466" i="5"/>
  <c r="AA301" i="5"/>
  <c r="AB301" i="5"/>
  <c r="AA413" i="5"/>
  <c r="AB413" i="5"/>
  <c r="AA534" i="5"/>
  <c r="AB534" i="5"/>
  <c r="AA48" i="5"/>
  <c r="AB48" i="5"/>
  <c r="AA547" i="5"/>
  <c r="AB547" i="5"/>
  <c r="AB36" i="5"/>
  <c r="AA36" i="5"/>
  <c r="AB156" i="5"/>
  <c r="AA156" i="5"/>
  <c r="AB321" i="5"/>
  <c r="AA321" i="5"/>
  <c r="AA212" i="5"/>
  <c r="AB212" i="5"/>
  <c r="AB474" i="5"/>
  <c r="AA474" i="5"/>
  <c r="AB476" i="5"/>
  <c r="AA476" i="5"/>
  <c r="AA228" i="5"/>
  <c r="AB228" i="5"/>
  <c r="AB30" i="5"/>
  <c r="AA30" i="5"/>
  <c r="AA521" i="5"/>
  <c r="AB521" i="5"/>
  <c r="AA458" i="5"/>
  <c r="AB458" i="5"/>
  <c r="AA254" i="5"/>
  <c r="AB254" i="5"/>
  <c r="AB247" i="5"/>
  <c r="AA247" i="5"/>
  <c r="AA75" i="5"/>
  <c r="AB75" i="5"/>
  <c r="AB46" i="5"/>
  <c r="AA46" i="5"/>
  <c r="AB380" i="5"/>
  <c r="AA380" i="5"/>
  <c r="AB310" i="5"/>
  <c r="AA310" i="5"/>
  <c r="AB256" i="5"/>
  <c r="AA256" i="5"/>
  <c r="AA325" i="5"/>
  <c r="AB325" i="5"/>
  <c r="AB28" i="5"/>
  <c r="AA28" i="5"/>
  <c r="AB400" i="5"/>
  <c r="AA400" i="5"/>
  <c r="AA127" i="5"/>
  <c r="AB127" i="5"/>
  <c r="AB279" i="5"/>
  <c r="AA279" i="5"/>
  <c r="AB442" i="5"/>
  <c r="AA442" i="5"/>
  <c r="AA22" i="5"/>
  <c r="AB22" i="5"/>
  <c r="AA208" i="5"/>
  <c r="AB208" i="5"/>
  <c r="AB302" i="5"/>
  <c r="AA302" i="5"/>
  <c r="AB395" i="5"/>
  <c r="AA395" i="5"/>
  <c r="AA465" i="5"/>
  <c r="AB465" i="5"/>
  <c r="AB207" i="5"/>
  <c r="AA207" i="5"/>
  <c r="AB236" i="5"/>
  <c r="AA236" i="5"/>
  <c r="AA506" i="5"/>
  <c r="AB506" i="5"/>
  <c r="AA55" i="5"/>
  <c r="AB55" i="5"/>
  <c r="AA143" i="5"/>
  <c r="AB143" i="5"/>
  <c r="AA315" i="5"/>
  <c r="AB315" i="5"/>
  <c r="AA407" i="5"/>
  <c r="AB407" i="5"/>
  <c r="AB265" i="5"/>
  <c r="AA265" i="5"/>
  <c r="AA415" i="5"/>
  <c r="AB415" i="5"/>
  <c r="AA59" i="5"/>
  <c r="AB59" i="5"/>
  <c r="AB171" i="5"/>
  <c r="AA171" i="5"/>
  <c r="AB25" i="5"/>
  <c r="AA25" i="5"/>
  <c r="AA110" i="5"/>
  <c r="AB110" i="5"/>
  <c r="AA498" i="5"/>
  <c r="AB498" i="5"/>
  <c r="AA64" i="5"/>
  <c r="AB64" i="5"/>
  <c r="AB349" i="5"/>
  <c r="AA349" i="5"/>
  <c r="AA85" i="5"/>
  <c r="AB85" i="5"/>
  <c r="AA280" i="5"/>
  <c r="AB280" i="5"/>
  <c r="AA493" i="5"/>
  <c r="AB493" i="5"/>
  <c r="AA198" i="5"/>
  <c r="AB198" i="5"/>
  <c r="AB296" i="5"/>
  <c r="AA296" i="5"/>
  <c r="AA533" i="5"/>
  <c r="AB533" i="5"/>
  <c r="AB313" i="5"/>
  <c r="AA313" i="5"/>
  <c r="AB386" i="5"/>
  <c r="AA386" i="5"/>
  <c r="AB482" i="5"/>
  <c r="AA482" i="5"/>
  <c r="AA399" i="5"/>
  <c r="AB399" i="5"/>
  <c r="AA275" i="5"/>
  <c r="AB275" i="5"/>
  <c r="AB306" i="5"/>
  <c r="AA306" i="5"/>
  <c r="AB412" i="5"/>
  <c r="AA412" i="5"/>
  <c r="AA152" i="5"/>
  <c r="AB152" i="5"/>
  <c r="AB262" i="5"/>
  <c r="AA262" i="5"/>
  <c r="AB368" i="5"/>
  <c r="AA368" i="5"/>
  <c r="AA332" i="5"/>
  <c r="AB332" i="5"/>
  <c r="AB141" i="5"/>
  <c r="AA141" i="5"/>
  <c r="AA50" i="5"/>
  <c r="AB50" i="5"/>
  <c r="AA422" i="5"/>
  <c r="AB422" i="5"/>
  <c r="AB269" i="5"/>
  <c r="AA269" i="5"/>
  <c r="AB324" i="5"/>
  <c r="AA324" i="5"/>
  <c r="AB229" i="5"/>
  <c r="AA229" i="5"/>
  <c r="AA446" i="5"/>
  <c r="AB446" i="5"/>
  <c r="AB347" i="5"/>
  <c r="AA347" i="5"/>
  <c r="AB515" i="5"/>
  <c r="AA515" i="5"/>
  <c r="AA139" i="5"/>
  <c r="AB139" i="5"/>
  <c r="AA39" i="5"/>
  <c r="AB39" i="5"/>
  <c r="AB87" i="5"/>
  <c r="AA87" i="5"/>
  <c r="AB122" i="5"/>
  <c r="AA122" i="5"/>
  <c r="AB33" i="5"/>
  <c r="AA33" i="5"/>
  <c r="AB467" i="5"/>
  <c r="AA467" i="5"/>
  <c r="AB393" i="5"/>
  <c r="AA393" i="5"/>
  <c r="AB206" i="5"/>
  <c r="AA206" i="5"/>
  <c r="AB199" i="5"/>
  <c r="AA199" i="5"/>
  <c r="AA525" i="5"/>
  <c r="AB525" i="5"/>
  <c r="AB148" i="5"/>
  <c r="AA148" i="5"/>
  <c r="AA511" i="5"/>
  <c r="AB511" i="5"/>
  <c r="AB203" i="5"/>
  <c r="AA203" i="5"/>
  <c r="AA455" i="5"/>
  <c r="AB455" i="5"/>
  <c r="AA308" i="5"/>
  <c r="AB308" i="5"/>
  <c r="AA252" i="5"/>
  <c r="AB252" i="5"/>
  <c r="B13" i="2" l="1"/>
  <c r="B31" i="5" l="1"/>
  <c r="O10" i="5" s="1"/>
  <c r="B70" i="2"/>
  <c r="B71" i="2" s="1"/>
  <c r="B54" i="2"/>
  <c r="B55" i="2" s="1"/>
  <c r="B62" i="2"/>
  <c r="B20" i="5"/>
  <c r="B14" i="2"/>
  <c r="B156" i="2"/>
  <c r="B162" i="2" s="1"/>
  <c r="B42" i="2"/>
  <c r="B168" i="2"/>
  <c r="B57" i="2"/>
  <c r="B70" i="5"/>
  <c r="O12" i="4"/>
  <c r="B248" i="2"/>
  <c r="B249" i="2" s="1"/>
  <c r="B17" i="5"/>
  <c r="B197" i="2"/>
  <c r="B198" i="2" s="1"/>
  <c r="B206" i="2" s="1"/>
  <c r="B117" i="2"/>
  <c r="H41" i="1" s="1"/>
  <c r="B15" i="2"/>
  <c r="H15" i="1" s="1"/>
  <c r="B65" i="2"/>
  <c r="B73" i="2"/>
  <c r="B35" i="2"/>
  <c r="B36" i="2" s="1"/>
  <c r="B40" i="2"/>
  <c r="B107" i="2"/>
  <c r="B266" i="2"/>
  <c r="B268" i="2" l="1"/>
  <c r="B267" i="2"/>
  <c r="B43" i="2"/>
  <c r="B45" i="2" s="1"/>
  <c r="H22" i="1" s="1"/>
  <c r="B104" i="2"/>
  <c r="B105" i="2" s="1"/>
  <c r="B63" i="2"/>
  <c r="K93" i="2"/>
  <c r="B204" i="2"/>
  <c r="B201" i="2"/>
  <c r="B202" i="2" s="1"/>
  <c r="B56" i="2"/>
  <c r="B94" i="2"/>
  <c r="B83" i="2"/>
  <c r="B58" i="2"/>
  <c r="B109" i="2" s="1"/>
  <c r="B196" i="2"/>
  <c r="B72" i="2"/>
  <c r="B95" i="2"/>
  <c r="B74" i="2"/>
  <c r="B75" i="2" s="1"/>
  <c r="AW10" i="5"/>
  <c r="AZ10" i="5"/>
  <c r="AT10" i="5"/>
  <c r="T10" i="5"/>
  <c r="AJ10" i="5"/>
  <c r="Z10" i="5"/>
  <c r="B43" i="5"/>
  <c r="W231" i="5"/>
  <c r="W249" i="5"/>
  <c r="W400" i="5"/>
  <c r="W436" i="5"/>
  <c r="W148" i="5"/>
  <c r="W20" i="5"/>
  <c r="W376" i="5"/>
  <c r="W410" i="5"/>
  <c r="W499" i="5"/>
  <c r="W109" i="5"/>
  <c r="W501" i="5"/>
  <c r="W262" i="5"/>
  <c r="W416" i="5"/>
  <c r="W83" i="5"/>
  <c r="W23" i="5"/>
  <c r="W511" i="5"/>
  <c r="W168" i="5"/>
  <c r="W317" i="5"/>
  <c r="W151" i="5"/>
  <c r="W212" i="5"/>
  <c r="W229" i="5"/>
  <c r="W541" i="5"/>
  <c r="W388" i="5"/>
  <c r="W305" i="5"/>
  <c r="W466" i="5"/>
  <c r="W381" i="5"/>
  <c r="W343" i="5"/>
  <c r="W239" i="5"/>
  <c r="W89" i="5"/>
  <c r="W115" i="5"/>
  <c r="W187" i="5"/>
  <c r="W497" i="5"/>
  <c r="W140" i="5"/>
  <c r="W253" i="5"/>
  <c r="W179" i="5"/>
  <c r="W207" i="5"/>
  <c r="W379" i="5"/>
  <c r="W217" i="5"/>
  <c r="W10" i="5"/>
  <c r="W293" i="5"/>
  <c r="W413" i="5"/>
  <c r="W415" i="5"/>
  <c r="W418" i="5"/>
  <c r="W297" i="5"/>
  <c r="W160" i="5"/>
  <c r="W110" i="5"/>
  <c r="W180" i="5"/>
  <c r="W144" i="5"/>
  <c r="W339" i="5"/>
  <c r="W36" i="5"/>
  <c r="W480" i="5"/>
  <c r="W42" i="5"/>
  <c r="W311" i="5"/>
  <c r="W198" i="5"/>
  <c r="W101" i="5"/>
  <c r="W422" i="5"/>
  <c r="W485" i="5"/>
  <c r="W30" i="5"/>
  <c r="W19" i="5"/>
  <c r="W552" i="5"/>
  <c r="W348" i="5"/>
  <c r="W166" i="5"/>
  <c r="W215" i="5"/>
  <c r="W414" i="5"/>
  <c r="W246" i="5"/>
  <c r="W121" i="5"/>
  <c r="W368" i="5"/>
  <c r="W84" i="5"/>
  <c r="W200" i="5"/>
  <c r="W393" i="5"/>
  <c r="W173" i="5"/>
  <c r="W443" i="5"/>
  <c r="W74" i="5"/>
  <c r="W296" i="5"/>
  <c r="W267" i="5"/>
  <c r="W133" i="5"/>
  <c r="W334" i="5"/>
  <c r="W25" i="5"/>
  <c r="W165" i="5"/>
  <c r="W142" i="5"/>
  <c r="W437" i="5"/>
  <c r="W295" i="5"/>
  <c r="W369" i="5"/>
  <c r="W278" i="5"/>
  <c r="W92" i="5"/>
  <c r="W482" i="5"/>
  <c r="W105" i="5"/>
  <c r="W351" i="5"/>
  <c r="W208" i="5"/>
  <c r="W507" i="5"/>
  <c r="W233" i="5"/>
  <c r="W438" i="5"/>
  <c r="W221" i="5"/>
  <c r="W395" i="5"/>
  <c r="W98" i="5"/>
  <c r="W52" i="5"/>
  <c r="W269" i="5"/>
  <c r="W209" i="5"/>
  <c r="W122" i="5"/>
  <c r="W540" i="5"/>
  <c r="W145" i="5"/>
  <c r="W440" i="5"/>
  <c r="W237" i="5"/>
  <c r="W314" i="5"/>
  <c r="W301" i="5"/>
  <c r="W352" i="5"/>
  <c r="W548" i="5"/>
  <c r="W412" i="5"/>
  <c r="W177" i="5"/>
  <c r="W248" i="5"/>
  <c r="W93" i="5"/>
  <c r="W327" i="5"/>
  <c r="W34" i="5"/>
  <c r="W555" i="5"/>
  <c r="W522" i="5"/>
  <c r="W409" i="5"/>
  <c r="W199" i="5"/>
  <c r="W335" i="5"/>
  <c r="W329" i="5"/>
  <c r="W473" i="5"/>
  <c r="W312" i="5"/>
  <c r="W238" i="5"/>
  <c r="W150" i="5"/>
  <c r="W380" i="5"/>
  <c r="W322" i="5"/>
  <c r="W331" i="5"/>
  <c r="W255" i="5"/>
  <c r="W474" i="5"/>
  <c r="W29" i="5"/>
  <c r="W556" i="5"/>
  <c r="W386" i="5"/>
  <c r="W375" i="5"/>
  <c r="W471" i="5"/>
  <c r="W80" i="5"/>
  <c r="W515" i="5"/>
  <c r="W87" i="5"/>
  <c r="W472" i="5"/>
  <c r="W496" i="5"/>
  <c r="W226" i="5"/>
  <c r="W508" i="5"/>
  <c r="W408" i="5"/>
  <c r="W65" i="5"/>
  <c r="W519" i="5"/>
  <c r="W182" i="5"/>
  <c r="W542" i="5"/>
  <c r="W433" i="5"/>
  <c r="W28" i="5"/>
  <c r="W154" i="5"/>
  <c r="W38" i="5"/>
  <c r="W242" i="5"/>
  <c r="W169" i="5"/>
  <c r="W90" i="5"/>
  <c r="W68" i="5"/>
  <c r="W271" i="5"/>
  <c r="W40" i="5"/>
  <c r="W423" i="5"/>
  <c r="W385" i="5"/>
  <c r="W315" i="5"/>
  <c r="W323" i="5"/>
  <c r="W453" i="5"/>
  <c r="W359" i="5"/>
  <c r="W69" i="5"/>
  <c r="W94" i="5"/>
  <c r="W537" i="5"/>
  <c r="W491" i="5"/>
  <c r="W70" i="5"/>
  <c r="W425" i="5"/>
  <c r="W158" i="5"/>
  <c r="W178" i="5"/>
  <c r="W476" i="5"/>
  <c r="W203" i="5"/>
  <c r="W44" i="5"/>
  <c r="W294" i="5"/>
  <c r="W60" i="5"/>
  <c r="W131" i="5"/>
  <c r="W454" i="5"/>
  <c r="W75" i="5"/>
  <c r="W426" i="5"/>
  <c r="W172" i="5"/>
  <c r="W256" i="5"/>
  <c r="W326" i="5"/>
  <c r="W553" i="5"/>
  <c r="W447" i="5"/>
  <c r="W434" i="5"/>
  <c r="W467" i="5"/>
  <c r="W37" i="5"/>
  <c r="W464" i="5"/>
  <c r="W358" i="5"/>
  <c r="W228" i="5"/>
  <c r="W300" i="5"/>
  <c r="W407" i="5"/>
  <c r="W486" i="5"/>
  <c r="W350" i="5"/>
  <c r="W549" i="5"/>
  <c r="W536" i="5"/>
  <c r="W117" i="5"/>
  <c r="W390" i="5"/>
  <c r="W214" i="5"/>
  <c r="W399" i="5"/>
  <c r="W371" i="5"/>
  <c r="W273" i="5"/>
  <c r="W492" i="5"/>
  <c r="W532" i="5"/>
  <c r="W204" i="5"/>
  <c r="W136" i="5"/>
  <c r="W243" i="5"/>
  <c r="W95" i="5"/>
  <c r="W216" i="5"/>
  <c r="W282" i="5"/>
  <c r="W302" i="5"/>
  <c r="W279" i="5"/>
  <c r="W31" i="5"/>
  <c r="W543" i="5"/>
  <c r="W106" i="5"/>
  <c r="W251" i="5"/>
  <c r="W245" i="5"/>
  <c r="W506" i="5"/>
  <c r="W505" i="5"/>
  <c r="W502" i="5"/>
  <c r="W235" i="5"/>
  <c r="W62" i="5"/>
  <c r="W224" i="5"/>
  <c r="W487" i="5"/>
  <c r="W47" i="5"/>
  <c r="W382" i="5"/>
  <c r="W220" i="5"/>
  <c r="W35" i="5"/>
  <c r="W420" i="5"/>
  <c r="W266" i="5"/>
  <c r="W394" i="5"/>
  <c r="W364" i="5"/>
  <c r="W435" i="5"/>
  <c r="W164" i="5"/>
  <c r="W114" i="5"/>
  <c r="W392" i="5"/>
  <c r="W465" i="5"/>
  <c r="W59" i="5"/>
  <c r="W349" i="5"/>
  <c r="W211" i="5"/>
  <c r="W167" i="5"/>
  <c r="W138" i="5"/>
  <c r="W504" i="5"/>
  <c r="W257" i="5"/>
  <c r="W247" i="5"/>
  <c r="W517" i="5"/>
  <c r="W461" i="5"/>
  <c r="W360" i="5"/>
  <c r="W64" i="5"/>
  <c r="W123" i="5"/>
  <c r="W298" i="5"/>
  <c r="W141" i="5"/>
  <c r="W307" i="5"/>
  <c r="W325" i="5"/>
  <c r="W452" i="5"/>
  <c r="W32" i="5"/>
  <c r="W442" i="5"/>
  <c r="W469" i="5"/>
  <c r="W196" i="5"/>
  <c r="W367" i="5"/>
  <c r="W459" i="5"/>
  <c r="W421" i="5"/>
  <c r="W281" i="5"/>
  <c r="W355" i="5"/>
  <c r="W85" i="5"/>
  <c r="W139" i="5"/>
  <c r="W76" i="5"/>
  <c r="W526" i="5"/>
  <c r="W309" i="5"/>
  <c r="W468" i="5"/>
  <c r="W191" i="5"/>
  <c r="W176" i="5"/>
  <c r="W265" i="5"/>
  <c r="W374" i="5"/>
  <c r="W332" i="5"/>
  <c r="W272" i="5"/>
  <c r="W346" i="5"/>
  <c r="W67" i="5"/>
  <c r="W481" i="5"/>
  <c r="W450" i="5"/>
  <c r="W488" i="5"/>
  <c r="W189" i="5"/>
  <c r="W119" i="5"/>
  <c r="W197" i="5"/>
  <c r="W304" i="5"/>
  <c r="W299" i="5"/>
  <c r="W558" i="5"/>
  <c r="W268" i="5"/>
  <c r="W88" i="5"/>
  <c r="W523" i="5"/>
  <c r="W503" i="5"/>
  <c r="W303" i="5"/>
  <c r="W403" i="5"/>
  <c r="W475" i="5"/>
  <c r="W157" i="5"/>
  <c r="W50" i="5"/>
  <c r="W71" i="5"/>
  <c r="W56" i="5"/>
  <c r="W338" i="5"/>
  <c r="W186" i="5"/>
  <c r="W125" i="5"/>
  <c r="W354" i="5"/>
  <c r="W545" i="5"/>
  <c r="W111" i="5"/>
  <c r="W306" i="5"/>
  <c r="W33" i="5"/>
  <c r="W223" i="5"/>
  <c r="W534" i="5"/>
  <c r="W328" i="5"/>
  <c r="W82" i="5"/>
  <c r="W455" i="5"/>
  <c r="W49" i="5"/>
  <c r="W366" i="5"/>
  <c r="W183" i="5"/>
  <c r="W318" i="5"/>
  <c r="W533" i="5"/>
  <c r="W39" i="5"/>
  <c r="W495" i="5"/>
  <c r="W361" i="5"/>
  <c r="W402" i="5"/>
  <c r="W73" i="5"/>
  <c r="W405" i="5"/>
  <c r="W554" i="5"/>
  <c r="W58" i="5"/>
  <c r="W21" i="5"/>
  <c r="W97" i="5"/>
  <c r="W149" i="5"/>
  <c r="W347" i="5"/>
  <c r="W383" i="5"/>
  <c r="W451" i="5"/>
  <c r="W518" i="5"/>
  <c r="W406" i="5"/>
  <c r="W557" i="5"/>
  <c r="W462" i="5"/>
  <c r="W330" i="5"/>
  <c r="W100" i="5"/>
  <c r="W477" i="5"/>
  <c r="W108" i="5"/>
  <c r="W241" i="5"/>
  <c r="W77" i="5"/>
  <c r="W286" i="5"/>
  <c r="W490" i="5"/>
  <c r="W547" i="5"/>
  <c r="W458" i="5"/>
  <c r="W377" i="5"/>
  <c r="W72" i="5"/>
  <c r="W550" i="5"/>
  <c r="W512" i="5"/>
  <c r="W146" i="5"/>
  <c r="W270" i="5"/>
  <c r="W290" i="5"/>
  <c r="W531" i="5"/>
  <c r="W86" i="5"/>
  <c r="W161" i="5"/>
  <c r="W484" i="5"/>
  <c r="W356" i="5"/>
  <c r="W45" i="5"/>
  <c r="W539" i="5"/>
  <c r="W538" i="5"/>
  <c r="W316" i="5"/>
  <c r="W171" i="5"/>
  <c r="W24" i="5"/>
  <c r="W521" i="5"/>
  <c r="W446" i="5"/>
  <c r="W320" i="5"/>
  <c r="W510" i="5"/>
  <c r="W276" i="5"/>
  <c r="W46" i="5"/>
  <c r="W353" i="5"/>
  <c r="W188" i="5"/>
  <c r="W373" i="5"/>
  <c r="W513" i="5"/>
  <c r="W130" i="5"/>
  <c r="W127" i="5"/>
  <c r="W254" i="5"/>
  <c r="W288" i="5"/>
  <c r="W365" i="5"/>
  <c r="W193" i="5"/>
  <c r="W8" i="5"/>
  <c r="W258" i="5"/>
  <c r="W184" i="5"/>
  <c r="W509" i="5"/>
  <c r="W192" i="5"/>
  <c r="W124" i="5"/>
  <c r="W259" i="5"/>
  <c r="W551" i="5"/>
  <c r="W524" i="5"/>
  <c r="W389" i="5"/>
  <c r="W274" i="5"/>
  <c r="W120" i="5"/>
  <c r="W126" i="5"/>
  <c r="W12" i="5"/>
  <c r="W319" i="5"/>
  <c r="W457" i="5"/>
  <c r="W396" i="5"/>
  <c r="W53" i="5"/>
  <c r="W205" i="5"/>
  <c r="W445" i="5"/>
  <c r="W357" i="5"/>
  <c r="W287" i="5"/>
  <c r="W341" i="5"/>
  <c r="W308" i="5"/>
  <c r="W285" i="5"/>
  <c r="W345" i="5"/>
  <c r="W283" i="5"/>
  <c r="W61" i="5"/>
  <c r="W559" i="5"/>
  <c r="W132" i="5"/>
  <c r="W498" i="5"/>
  <c r="W63" i="5"/>
  <c r="W54" i="5"/>
  <c r="W181" i="5"/>
  <c r="W419" i="5"/>
  <c r="W48" i="5"/>
  <c r="W560" i="5"/>
  <c r="W91" i="5"/>
  <c r="W155" i="5"/>
  <c r="W222" i="5"/>
  <c r="W234" i="5"/>
  <c r="W170" i="5"/>
  <c r="W516" i="5"/>
  <c r="W236" i="5"/>
  <c r="W147" i="5"/>
  <c r="W444" i="5"/>
  <c r="W493" i="5"/>
  <c r="W252" i="5"/>
  <c r="W227" i="5"/>
  <c r="W225" i="5"/>
  <c r="W143" i="5"/>
  <c r="W194" i="5"/>
  <c r="W479" i="5"/>
  <c r="W404" i="5"/>
  <c r="W372" i="5"/>
  <c r="W441" i="5"/>
  <c r="W41" i="5"/>
  <c r="W213" i="5"/>
  <c r="W280" i="5"/>
  <c r="W162" i="5"/>
  <c r="W128" i="5"/>
  <c r="W107" i="5"/>
  <c r="W275" i="5"/>
  <c r="W134" i="5"/>
  <c r="W201" i="5"/>
  <c r="W514" i="5"/>
  <c r="W546" i="5"/>
  <c r="W470" i="5"/>
  <c r="W277" i="5"/>
  <c r="W289" i="5"/>
  <c r="W378" i="5"/>
  <c r="W432" i="5"/>
  <c r="W99" i="5"/>
  <c r="W51" i="5"/>
  <c r="W118" i="5"/>
  <c r="W78" i="5"/>
  <c r="W324" i="5"/>
  <c r="W460" i="5"/>
  <c r="W219" i="5"/>
  <c r="W313" i="5"/>
  <c r="W113" i="5"/>
  <c r="W363" i="5"/>
  <c r="W195" i="5"/>
  <c r="W528" i="5"/>
  <c r="W57" i="5"/>
  <c r="W103" i="5"/>
  <c r="W337" i="5"/>
  <c r="W244" i="5"/>
  <c r="W163" i="5"/>
  <c r="W439" i="5"/>
  <c r="W384" i="5"/>
  <c r="W342" i="5"/>
  <c r="W529" i="5"/>
  <c r="W431" i="5"/>
  <c r="W417" i="5"/>
  <c r="W478" i="5"/>
  <c r="W260" i="5"/>
  <c r="W261" i="5"/>
  <c r="W210" i="5"/>
  <c r="W153" i="5"/>
  <c r="W291" i="5"/>
  <c r="W500" i="5"/>
  <c r="W55" i="5"/>
  <c r="W530" i="5"/>
  <c r="W430" i="5"/>
  <c r="W232" i="5"/>
  <c r="W520" i="5"/>
  <c r="W240" i="5"/>
  <c r="W174" i="5"/>
  <c r="W340" i="5"/>
  <c r="W190" i="5"/>
  <c r="W387" i="5"/>
  <c r="W43" i="5"/>
  <c r="W250" i="5"/>
  <c r="W27" i="5"/>
  <c r="W401" i="5"/>
  <c r="O9" i="5"/>
  <c r="W333" i="5"/>
  <c r="W81" i="5"/>
  <c r="W427" i="5"/>
  <c r="W292" i="5"/>
  <c r="W456" i="5"/>
  <c r="W397" i="5"/>
  <c r="W129" i="5"/>
  <c r="W230" i="5"/>
  <c r="W489" i="5"/>
  <c r="W66" i="5"/>
  <c r="W362" i="5"/>
  <c r="W535" i="5"/>
  <c r="W424" i="5"/>
  <c r="W483" i="5"/>
  <c r="W391" i="5"/>
  <c r="W104" i="5"/>
  <c r="W22" i="5"/>
  <c r="W398" i="5"/>
  <c r="W159" i="5"/>
  <c r="W218" i="5"/>
  <c r="W202" i="5"/>
  <c r="W544" i="5"/>
  <c r="W429" i="5"/>
  <c r="W137" i="5"/>
  <c r="W449" i="5"/>
  <c r="W116" i="5"/>
  <c r="W96" i="5"/>
  <c r="W206" i="5"/>
  <c r="W264" i="5"/>
  <c r="W411" i="5"/>
  <c r="W102" i="5"/>
  <c r="W152" i="5"/>
  <c r="W525" i="5"/>
  <c r="W527" i="5"/>
  <c r="W284" i="5"/>
  <c r="W13" i="5"/>
  <c r="W336" i="5"/>
  <c r="W112" i="5"/>
  <c r="W321" i="5"/>
  <c r="W370" i="5"/>
  <c r="W310" i="5"/>
  <c r="W156" i="5"/>
  <c r="W263" i="5"/>
  <c r="W463" i="5"/>
  <c r="W428" i="5"/>
  <c r="W175" i="5"/>
  <c r="W79" i="5"/>
  <c r="W494" i="5"/>
  <c r="W448" i="5"/>
  <c r="W135" i="5"/>
  <c r="W26" i="5"/>
  <c r="W344" i="5"/>
  <c r="W185" i="5"/>
  <c r="B211" i="2"/>
  <c r="B216" i="2" s="1"/>
  <c r="B77" i="5"/>
  <c r="B72" i="5"/>
  <c r="B160" i="2"/>
  <c r="P7" i="5" s="1"/>
  <c r="B36" i="5"/>
  <c r="B73" i="5"/>
  <c r="B112" i="2"/>
  <c r="S21" i="4"/>
  <c r="V21" i="4" s="1"/>
  <c r="S61" i="4"/>
  <c r="V61" i="4" s="1"/>
  <c r="S142" i="4"/>
  <c r="V142" i="4" s="1"/>
  <c r="S9" i="4"/>
  <c r="V9" i="4" s="1"/>
  <c r="S12" i="4"/>
  <c r="V12" i="4" s="1"/>
  <c r="S154" i="4"/>
  <c r="V154" i="4" s="1"/>
  <c r="S80" i="4"/>
  <c r="V80" i="4" s="1"/>
  <c r="S25" i="4"/>
  <c r="V25" i="4" s="1"/>
  <c r="S103" i="4"/>
  <c r="V103" i="4" s="1"/>
  <c r="S67" i="4"/>
  <c r="V67" i="4" s="1"/>
  <c r="S150" i="4"/>
  <c r="V150" i="4" s="1"/>
  <c r="S39" i="4"/>
  <c r="V39" i="4" s="1"/>
  <c r="S71" i="4"/>
  <c r="V71" i="4" s="1"/>
  <c r="S36" i="4"/>
  <c r="V36" i="4" s="1"/>
  <c r="S54" i="4"/>
  <c r="V54" i="4" s="1"/>
  <c r="S95" i="4"/>
  <c r="V95" i="4" s="1"/>
  <c r="S19" i="4"/>
  <c r="V19" i="4" s="1"/>
  <c r="S141" i="4"/>
  <c r="V141" i="4" s="1"/>
  <c r="S57" i="4"/>
  <c r="V57" i="4" s="1"/>
  <c r="S108" i="4"/>
  <c r="V108" i="4" s="1"/>
  <c r="S49" i="4"/>
  <c r="V49" i="4" s="1"/>
  <c r="S143" i="4"/>
  <c r="V143" i="4" s="1"/>
  <c r="S138" i="4"/>
  <c r="V138" i="4" s="1"/>
  <c r="S62" i="4"/>
  <c r="V62" i="4" s="1"/>
  <c r="S111" i="4"/>
  <c r="V111" i="4" s="1"/>
  <c r="S31" i="4"/>
  <c r="V31" i="4" s="1"/>
  <c r="S70" i="4"/>
  <c r="V70" i="4" s="1"/>
  <c r="S102" i="4"/>
  <c r="V102" i="4" s="1"/>
  <c r="S157" i="4"/>
  <c r="V157" i="4" s="1"/>
  <c r="S14" i="4"/>
  <c r="V14" i="4" s="1"/>
  <c r="S51" i="4"/>
  <c r="V51" i="4" s="1"/>
  <c r="S28" i="4"/>
  <c r="V28" i="4" s="1"/>
  <c r="S13" i="4"/>
  <c r="V13" i="4" s="1"/>
  <c r="S33" i="4"/>
  <c r="V33" i="4" s="1"/>
  <c r="S148" i="4"/>
  <c r="V148" i="4" s="1"/>
  <c r="S46" i="4"/>
  <c r="V46" i="4" s="1"/>
  <c r="S155" i="4"/>
  <c r="V155" i="4" s="1"/>
  <c r="S52" i="4"/>
  <c r="V52" i="4" s="1"/>
  <c r="S10" i="4"/>
  <c r="V10" i="4" s="1"/>
  <c r="S56" i="4"/>
  <c r="V56" i="4" s="1"/>
  <c r="S92" i="4"/>
  <c r="V92" i="4" s="1"/>
  <c r="S145" i="4"/>
  <c r="V145" i="4" s="1"/>
  <c r="S84" i="4"/>
  <c r="V84" i="4" s="1"/>
  <c r="S50" i="4"/>
  <c r="V50" i="4" s="1"/>
  <c r="S73" i="4"/>
  <c r="V73" i="4" s="1"/>
  <c r="S101" i="4"/>
  <c r="V101" i="4" s="1"/>
  <c r="S24" i="4"/>
  <c r="V24" i="4" s="1"/>
  <c r="S68" i="4"/>
  <c r="V68" i="4" s="1"/>
  <c r="S133" i="4"/>
  <c r="V133" i="4" s="1"/>
  <c r="S117" i="4"/>
  <c r="V117" i="4" s="1"/>
  <c r="S144" i="4"/>
  <c r="V144" i="4" s="1"/>
  <c r="S96" i="4"/>
  <c r="V96" i="4" s="1"/>
  <c r="S152" i="4"/>
  <c r="V152" i="4" s="1"/>
  <c r="S44" i="4"/>
  <c r="V44" i="4" s="1"/>
  <c r="S35" i="4"/>
  <c r="V35" i="4" s="1"/>
  <c r="S37" i="4"/>
  <c r="V37" i="4" s="1"/>
  <c r="S38" i="4"/>
  <c r="V38" i="4" s="1"/>
  <c r="S17" i="4"/>
  <c r="V17" i="4" s="1"/>
  <c r="S128" i="4"/>
  <c r="V128" i="4" s="1"/>
  <c r="S48" i="4"/>
  <c r="V48" i="4" s="1"/>
  <c r="S124" i="4"/>
  <c r="V124" i="4" s="1"/>
  <c r="S93" i="4"/>
  <c r="V93" i="4" s="1"/>
  <c r="S118" i="4"/>
  <c r="V118" i="4" s="1"/>
  <c r="S41" i="4"/>
  <c r="V41" i="4" s="1"/>
  <c r="S75" i="4"/>
  <c r="V75" i="4" s="1"/>
  <c r="S7" i="4"/>
  <c r="V7" i="4" s="1"/>
  <c r="S106" i="4"/>
  <c r="V106" i="4" s="1"/>
  <c r="S83" i="4"/>
  <c r="V83" i="4" s="1"/>
  <c r="S26" i="4"/>
  <c r="V26" i="4" s="1"/>
  <c r="S30" i="4"/>
  <c r="V30" i="4" s="1"/>
  <c r="S97" i="4"/>
  <c r="V97" i="4" s="1"/>
  <c r="S76" i="4"/>
  <c r="V76" i="4" s="1"/>
  <c r="S127" i="4"/>
  <c r="V127" i="4" s="1"/>
  <c r="S132" i="4"/>
  <c r="V132" i="4" s="1"/>
  <c r="S88" i="4"/>
  <c r="V88" i="4" s="1"/>
  <c r="S34" i="4"/>
  <c r="V34" i="4" s="1"/>
  <c r="S110" i="4"/>
  <c r="V110" i="4" s="1"/>
  <c r="S59" i="4"/>
  <c r="V59" i="4" s="1"/>
  <c r="S114" i="4"/>
  <c r="V114" i="4" s="1"/>
  <c r="S53" i="4"/>
  <c r="V53" i="4" s="1"/>
  <c r="S18" i="4"/>
  <c r="V18" i="4" s="1"/>
  <c r="S42" i="4"/>
  <c r="V42" i="4" s="1"/>
  <c r="S140" i="4"/>
  <c r="V140" i="4" s="1"/>
  <c r="S113" i="4"/>
  <c r="V113" i="4" s="1"/>
  <c r="S123" i="4"/>
  <c r="V123" i="4" s="1"/>
  <c r="S15" i="4"/>
  <c r="V15" i="4" s="1"/>
  <c r="S69" i="4"/>
  <c r="V69" i="4" s="1"/>
  <c r="S87" i="4"/>
  <c r="V87" i="4" s="1"/>
  <c r="S156" i="4"/>
  <c r="V156" i="4" s="1"/>
  <c r="S94" i="4"/>
  <c r="V94" i="4" s="1"/>
  <c r="S20" i="4"/>
  <c r="V20" i="4" s="1"/>
  <c r="S109" i="4"/>
  <c r="V109" i="4" s="1"/>
  <c r="S60" i="4"/>
  <c r="V60" i="4" s="1"/>
  <c r="S86" i="4"/>
  <c r="V86" i="4" s="1"/>
  <c r="S27" i="4"/>
  <c r="V27" i="4" s="1"/>
  <c r="S91" i="4"/>
  <c r="V91" i="4" s="1"/>
  <c r="S77" i="4"/>
  <c r="V77" i="4" s="1"/>
  <c r="S8" i="4"/>
  <c r="V8" i="4" s="1"/>
  <c r="S135" i="4"/>
  <c r="V135" i="4" s="1"/>
  <c r="S136" i="4"/>
  <c r="V136" i="4" s="1"/>
  <c r="S58" i="4"/>
  <c r="V58" i="4" s="1"/>
  <c r="S120" i="4"/>
  <c r="V120" i="4" s="1"/>
  <c r="S47" i="4"/>
  <c r="V47" i="4" s="1"/>
  <c r="S151" i="4"/>
  <c r="V151" i="4" s="1"/>
  <c r="S40" i="4"/>
  <c r="V40" i="4" s="1"/>
  <c r="S32" i="4"/>
  <c r="V32" i="4" s="1"/>
  <c r="S55" i="4"/>
  <c r="V55" i="4" s="1"/>
  <c r="S89" i="4"/>
  <c r="V89" i="4" s="1"/>
  <c r="S153" i="4"/>
  <c r="V153" i="4" s="1"/>
  <c r="S121" i="4"/>
  <c r="V121" i="4" s="1"/>
  <c r="S104" i="4"/>
  <c r="V104" i="4" s="1"/>
  <c r="S129" i="4"/>
  <c r="V129" i="4" s="1"/>
  <c r="S22" i="4"/>
  <c r="V22" i="4" s="1"/>
  <c r="S90" i="4"/>
  <c r="V90" i="4" s="1"/>
  <c r="S105" i="4"/>
  <c r="V105" i="4" s="1"/>
  <c r="S122" i="4"/>
  <c r="V122" i="4" s="1"/>
  <c r="S149" i="4"/>
  <c r="V149" i="4" s="1"/>
  <c r="S147" i="4"/>
  <c r="V147" i="4" s="1"/>
  <c r="S78" i="4"/>
  <c r="V78" i="4" s="1"/>
  <c r="S98" i="4"/>
  <c r="V98" i="4" s="1"/>
  <c r="S125" i="4"/>
  <c r="V125" i="4" s="1"/>
  <c r="S72" i="4"/>
  <c r="V72" i="4" s="1"/>
  <c r="S16" i="4"/>
  <c r="V16" i="4" s="1"/>
  <c r="S29" i="4"/>
  <c r="V29" i="4" s="1"/>
  <c r="S66" i="4"/>
  <c r="V66" i="4" s="1"/>
  <c r="S126" i="4"/>
  <c r="V126" i="4" s="1"/>
  <c r="S82" i="4"/>
  <c r="V82" i="4" s="1"/>
  <c r="S64" i="4"/>
  <c r="V64" i="4" s="1"/>
  <c r="S115" i="4"/>
  <c r="V115" i="4" s="1"/>
  <c r="S45" i="4"/>
  <c r="V45" i="4" s="1"/>
  <c r="S130" i="4"/>
  <c r="V130" i="4" s="1"/>
  <c r="S99" i="4"/>
  <c r="V99" i="4" s="1"/>
  <c r="S23" i="4"/>
  <c r="V23" i="4" s="1"/>
  <c r="S116" i="4"/>
  <c r="V116" i="4" s="1"/>
  <c r="S139" i="4"/>
  <c r="V139" i="4" s="1"/>
  <c r="S146" i="4"/>
  <c r="V146" i="4" s="1"/>
  <c r="S134" i="4"/>
  <c r="V134" i="4" s="1"/>
  <c r="S81" i="4"/>
  <c r="V81" i="4" s="1"/>
  <c r="S43" i="4"/>
  <c r="V43" i="4" s="1"/>
  <c r="S79" i="4"/>
  <c r="V79" i="4" s="1"/>
  <c r="S112" i="4"/>
  <c r="V112" i="4" s="1"/>
  <c r="S137" i="4"/>
  <c r="V137" i="4" s="1"/>
  <c r="S100" i="4"/>
  <c r="V100" i="4" s="1"/>
  <c r="S65" i="4"/>
  <c r="V65" i="4" s="1"/>
  <c r="S11" i="4"/>
  <c r="V11" i="4" s="1"/>
  <c r="S107" i="4"/>
  <c r="V107" i="4" s="1"/>
  <c r="S119" i="4"/>
  <c r="V119" i="4" s="1"/>
  <c r="S85" i="4"/>
  <c r="V85" i="4" s="1"/>
  <c r="S131" i="4"/>
  <c r="V131" i="4" s="1"/>
  <c r="S74" i="4"/>
  <c r="V74" i="4" s="1"/>
  <c r="S63" i="4"/>
  <c r="V63" i="4" s="1"/>
  <c r="B250" i="2"/>
  <c r="B169" i="2"/>
  <c r="W7" i="5"/>
  <c r="Q7" i="5"/>
  <c r="B163" i="2"/>
  <c r="B181" i="2" s="1"/>
  <c r="B80" i="2" l="1"/>
  <c r="B108" i="2"/>
  <c r="H36" i="1" s="1"/>
  <c r="B59" i="2"/>
  <c r="H25" i="1" s="1"/>
  <c r="W79" i="4"/>
  <c r="AM79" i="4"/>
  <c r="W64" i="4"/>
  <c r="Y64" i="4" s="1"/>
  <c r="AR64" i="4" s="1"/>
  <c r="AM64" i="4"/>
  <c r="AM122" i="4"/>
  <c r="W122" i="4"/>
  <c r="AM151" i="4"/>
  <c r="W151" i="4"/>
  <c r="W109" i="4"/>
  <c r="AM109" i="4"/>
  <c r="W53" i="4"/>
  <c r="Y53" i="4" s="1"/>
  <c r="AR53" i="4" s="1"/>
  <c r="AM53" i="4"/>
  <c r="AM83" i="4"/>
  <c r="W83" i="4"/>
  <c r="Y83" i="4" s="1"/>
  <c r="AR83" i="4" s="1"/>
  <c r="W37" i="4"/>
  <c r="Y37" i="4" s="1"/>
  <c r="AR37" i="4" s="1"/>
  <c r="AM37" i="4"/>
  <c r="W50" i="4"/>
  <c r="Y50" i="4" s="1"/>
  <c r="AR50" i="4" s="1"/>
  <c r="AM50" i="4"/>
  <c r="AM28" i="4"/>
  <c r="W28" i="4"/>
  <c r="Y28" i="4" s="1"/>
  <c r="AR28" i="4" s="1"/>
  <c r="W108" i="4"/>
  <c r="AM108" i="4"/>
  <c r="W25" i="4"/>
  <c r="Y25" i="4" s="1"/>
  <c r="AR25" i="4" s="1"/>
  <c r="AM25" i="4"/>
  <c r="W63" i="4"/>
  <c r="AM63" i="4"/>
  <c r="AM119" i="4"/>
  <c r="W119" i="4"/>
  <c r="Y119" i="4" s="1"/>
  <c r="AR119" i="4" s="1"/>
  <c r="AM139" i="4"/>
  <c r="W139" i="4"/>
  <c r="Y139" i="4" s="1"/>
  <c r="AR139" i="4" s="1"/>
  <c r="W16" i="4"/>
  <c r="Y16" i="4" s="1"/>
  <c r="AR16" i="4" s="1"/>
  <c r="AM16" i="4"/>
  <c r="W104" i="4"/>
  <c r="Y104" i="4" s="1"/>
  <c r="AR104" i="4" s="1"/>
  <c r="AM104" i="4"/>
  <c r="AM135" i="4"/>
  <c r="W135" i="4"/>
  <c r="AM69" i="4"/>
  <c r="W69" i="4"/>
  <c r="W88" i="4"/>
  <c r="Y88" i="4" s="1"/>
  <c r="AR88" i="4" s="1"/>
  <c r="AM88" i="4"/>
  <c r="AM97" i="4"/>
  <c r="W97" i="4"/>
  <c r="AM128" i="4"/>
  <c r="W128" i="4"/>
  <c r="W24" i="4"/>
  <c r="Y24" i="4" s="1"/>
  <c r="AR24" i="4" s="1"/>
  <c r="AM24" i="4"/>
  <c r="AM148" i="4"/>
  <c r="W148" i="4"/>
  <c r="W138" i="4"/>
  <c r="Y138" i="4" s="1"/>
  <c r="AR138" i="4" s="1"/>
  <c r="AM138" i="4"/>
  <c r="W150" i="4"/>
  <c r="Y150" i="4" s="1"/>
  <c r="AR150" i="4" s="1"/>
  <c r="AM150" i="4"/>
  <c r="AM80" i="4"/>
  <c r="W80" i="4"/>
  <c r="Y80" i="4" s="1"/>
  <c r="AR80" i="4" s="1"/>
  <c r="AM74" i="4"/>
  <c r="W74" i="4"/>
  <c r="W107" i="4"/>
  <c r="Y107" i="4" s="1"/>
  <c r="AR107" i="4" s="1"/>
  <c r="AM107" i="4"/>
  <c r="W137" i="4"/>
  <c r="AM137" i="4"/>
  <c r="W81" i="4"/>
  <c r="AM81" i="4"/>
  <c r="AM116" i="4"/>
  <c r="W116" i="4"/>
  <c r="AM45" i="4"/>
  <c r="W45" i="4"/>
  <c r="Y45" i="4" s="1"/>
  <c r="AR45" i="4" s="1"/>
  <c r="W126" i="4"/>
  <c r="AM126" i="4"/>
  <c r="AM72" i="4"/>
  <c r="W72" i="4"/>
  <c r="Y72" i="4" s="1"/>
  <c r="AR72" i="4" s="1"/>
  <c r="AM147" i="4"/>
  <c r="W147" i="4"/>
  <c r="Y147" i="4" s="1"/>
  <c r="AR147" i="4" s="1"/>
  <c r="AM90" i="4"/>
  <c r="W90" i="4"/>
  <c r="W121" i="4"/>
  <c r="AM121" i="4"/>
  <c r="AM32" i="4"/>
  <c r="W32" i="4"/>
  <c r="Y32" i="4" s="1"/>
  <c r="AR32" i="4" s="1"/>
  <c r="W120" i="4"/>
  <c r="Y120" i="4" s="1"/>
  <c r="AR120" i="4" s="1"/>
  <c r="AM120" i="4"/>
  <c r="W8" i="4"/>
  <c r="Y8" i="4" s="1"/>
  <c r="AR8" i="4" s="1"/>
  <c r="AM8" i="4"/>
  <c r="AM86" i="4"/>
  <c r="W86" i="4"/>
  <c r="W94" i="4"/>
  <c r="AM94" i="4"/>
  <c r="W15" i="4"/>
  <c r="Y15" i="4" s="1"/>
  <c r="AR15" i="4" s="1"/>
  <c r="AM15" i="4"/>
  <c r="AM42" i="4"/>
  <c r="W42" i="4"/>
  <c r="Y42" i="4" s="1"/>
  <c r="AR42" i="4" s="1"/>
  <c r="W59" i="4"/>
  <c r="AM59" i="4"/>
  <c r="W132" i="4"/>
  <c r="Y132" i="4" s="1"/>
  <c r="AR132" i="4" s="1"/>
  <c r="AM132" i="4"/>
  <c r="W30" i="4"/>
  <c r="Y30" i="4" s="1"/>
  <c r="AR30" i="4" s="1"/>
  <c r="AM30" i="4"/>
  <c r="AM7" i="4"/>
  <c r="W7" i="4"/>
  <c r="Y7" i="4" s="1"/>
  <c r="AR7" i="4" s="1"/>
  <c r="AM93" i="4"/>
  <c r="W93" i="4"/>
  <c r="W17" i="4"/>
  <c r="Y17" i="4" s="1"/>
  <c r="AR17" i="4" s="1"/>
  <c r="AM17" i="4"/>
  <c r="W44" i="4"/>
  <c r="Y44" i="4" s="1"/>
  <c r="AR44" i="4" s="1"/>
  <c r="AM44" i="4"/>
  <c r="AM117" i="4"/>
  <c r="W117" i="4"/>
  <c r="AM101" i="4"/>
  <c r="W101" i="4"/>
  <c r="W145" i="4"/>
  <c r="AM145" i="4"/>
  <c r="AM52" i="4"/>
  <c r="W52" i="4"/>
  <c r="Y52" i="4" s="1"/>
  <c r="AR52" i="4" s="1"/>
  <c r="AM33" i="4"/>
  <c r="W33" i="4"/>
  <c r="Y33" i="4" s="1"/>
  <c r="AR33" i="4" s="1"/>
  <c r="AM14" i="4"/>
  <c r="W14" i="4"/>
  <c r="Y14" i="4" s="1"/>
  <c r="AR14" i="4" s="1"/>
  <c r="AM31" i="4"/>
  <c r="W31" i="4"/>
  <c r="Y31" i="4" s="1"/>
  <c r="AR31" i="4" s="1"/>
  <c r="W143" i="4"/>
  <c r="AM143" i="4"/>
  <c r="W141" i="4"/>
  <c r="AM141" i="4"/>
  <c r="AM36" i="4"/>
  <c r="W36" i="4"/>
  <c r="Y36" i="4" s="1"/>
  <c r="AR36" i="4" s="1"/>
  <c r="AM67" i="4"/>
  <c r="W67" i="4"/>
  <c r="W154" i="4"/>
  <c r="AM154" i="4"/>
  <c r="W61" i="4"/>
  <c r="AM61" i="4"/>
  <c r="AA10" i="5"/>
  <c r="AB10" i="5"/>
  <c r="BA10" i="5"/>
  <c r="BB10" i="5"/>
  <c r="H32" i="1"/>
  <c r="B97" i="2"/>
  <c r="AM85" i="4"/>
  <c r="W85" i="4"/>
  <c r="AM99" i="4"/>
  <c r="W99" i="4"/>
  <c r="Y99" i="4" s="1"/>
  <c r="AR99" i="4" s="1"/>
  <c r="W29" i="4"/>
  <c r="Y29" i="4" s="1"/>
  <c r="AR29" i="4" s="1"/>
  <c r="AM29" i="4"/>
  <c r="W89" i="4"/>
  <c r="AM89" i="4"/>
  <c r="AM91" i="4"/>
  <c r="W91" i="4"/>
  <c r="Y91" i="4" s="1"/>
  <c r="AR91" i="4" s="1"/>
  <c r="W113" i="4"/>
  <c r="AM113" i="4"/>
  <c r="AM76" i="4"/>
  <c r="W76" i="4"/>
  <c r="W41" i="4"/>
  <c r="Y41" i="4" s="1"/>
  <c r="AR41" i="4" s="1"/>
  <c r="AM41" i="4"/>
  <c r="AM96" i="4"/>
  <c r="W96" i="4"/>
  <c r="AM56" i="4"/>
  <c r="W56" i="4"/>
  <c r="AM102" i="4"/>
  <c r="W102" i="4"/>
  <c r="AM95" i="4"/>
  <c r="W95" i="4"/>
  <c r="W43" i="4"/>
  <c r="Y43" i="4" s="1"/>
  <c r="AR43" i="4" s="1"/>
  <c r="AM43" i="4"/>
  <c r="W82" i="4"/>
  <c r="AM82" i="4"/>
  <c r="AM105" i="4"/>
  <c r="W105" i="4"/>
  <c r="W47" i="4"/>
  <c r="Y47" i="4" s="1"/>
  <c r="AR47" i="4" s="1"/>
  <c r="AM47" i="4"/>
  <c r="W20" i="4"/>
  <c r="Y20" i="4" s="1"/>
  <c r="AR20" i="4" s="1"/>
  <c r="AM20" i="4"/>
  <c r="W114" i="4"/>
  <c r="AM114" i="4"/>
  <c r="AM118" i="4"/>
  <c r="W118" i="4"/>
  <c r="AM144" i="4"/>
  <c r="W144" i="4"/>
  <c r="W84" i="4"/>
  <c r="Y84" i="4" s="1"/>
  <c r="AR84" i="4" s="1"/>
  <c r="AM84" i="4"/>
  <c r="W70" i="4"/>
  <c r="Y70" i="4" s="1"/>
  <c r="AR70" i="4" s="1"/>
  <c r="AM70" i="4"/>
  <c r="AM54" i="4"/>
  <c r="W54" i="4"/>
  <c r="AM131" i="4"/>
  <c r="W131" i="4"/>
  <c r="W11" i="4"/>
  <c r="Y11" i="4" s="1"/>
  <c r="AR11" i="4" s="1"/>
  <c r="AM11" i="4"/>
  <c r="AM112" i="4"/>
  <c r="W112" i="4"/>
  <c r="W134" i="4"/>
  <c r="AM134" i="4"/>
  <c r="W23" i="4"/>
  <c r="Y23" i="4" s="1"/>
  <c r="AR23" i="4" s="1"/>
  <c r="AM23" i="4"/>
  <c r="AM115" i="4"/>
  <c r="W115" i="4"/>
  <c r="Y115" i="4" s="1"/>
  <c r="AR115" i="4" s="1"/>
  <c r="W66" i="4"/>
  <c r="AM66" i="4"/>
  <c r="AM125" i="4"/>
  <c r="W125" i="4"/>
  <c r="AM149" i="4"/>
  <c r="W149" i="4"/>
  <c r="W22" i="4"/>
  <c r="Y22" i="4" s="1"/>
  <c r="AR22" i="4" s="1"/>
  <c r="AM22" i="4"/>
  <c r="AM153" i="4"/>
  <c r="W153" i="4"/>
  <c r="Y153" i="4" s="1"/>
  <c r="AR153" i="4" s="1"/>
  <c r="W40" i="4"/>
  <c r="Y40" i="4" s="1"/>
  <c r="AR40" i="4" s="1"/>
  <c r="AM40" i="4"/>
  <c r="AM58" i="4"/>
  <c r="W58" i="4"/>
  <c r="AM77" i="4"/>
  <c r="W77" i="4"/>
  <c r="W60" i="4"/>
  <c r="AM60" i="4"/>
  <c r="W156" i="4"/>
  <c r="AM156" i="4"/>
  <c r="W123" i="4"/>
  <c r="AM123" i="4"/>
  <c r="AM18" i="4"/>
  <c r="W18" i="4"/>
  <c r="Y18" i="4" s="1"/>
  <c r="AR18" i="4" s="1"/>
  <c r="W110" i="4"/>
  <c r="AM110" i="4"/>
  <c r="AM127" i="4"/>
  <c r="W127" i="4"/>
  <c r="W26" i="4"/>
  <c r="Y26" i="4" s="1"/>
  <c r="AR26" i="4" s="1"/>
  <c r="AM26" i="4"/>
  <c r="AM75" i="4"/>
  <c r="W75" i="4"/>
  <c r="W124" i="4"/>
  <c r="AM124" i="4"/>
  <c r="AM38" i="4"/>
  <c r="W38" i="4"/>
  <c r="Y38" i="4" s="1"/>
  <c r="AR38" i="4" s="1"/>
  <c r="AM152" i="4"/>
  <c r="W152" i="4"/>
  <c r="AM133" i="4"/>
  <c r="W133" i="4"/>
  <c r="W73" i="4"/>
  <c r="AM73" i="4"/>
  <c r="AM92" i="4"/>
  <c r="W92" i="4"/>
  <c r="AM155" i="4"/>
  <c r="W155" i="4"/>
  <c r="W13" i="4"/>
  <c r="Y13" i="4" s="1"/>
  <c r="AR13" i="4" s="1"/>
  <c r="AM13" i="4"/>
  <c r="W157" i="4"/>
  <c r="Y157" i="4" s="1"/>
  <c r="AR157" i="4" s="1"/>
  <c r="AM157" i="4"/>
  <c r="AM111" i="4"/>
  <c r="W111" i="4"/>
  <c r="W49" i="4"/>
  <c r="Y49" i="4" s="1"/>
  <c r="AR49" i="4" s="1"/>
  <c r="AM49" i="4"/>
  <c r="AM19" i="4"/>
  <c r="W19" i="4"/>
  <c r="Y19" i="4" s="1"/>
  <c r="AR19" i="4" s="1"/>
  <c r="W71" i="4"/>
  <c r="Y71" i="4" s="1"/>
  <c r="AR71" i="4" s="1"/>
  <c r="AM71" i="4"/>
  <c r="AM103" i="4"/>
  <c r="W103" i="4"/>
  <c r="Y103" i="4" s="1"/>
  <c r="AR103" i="4" s="1"/>
  <c r="W12" i="4"/>
  <c r="Y12" i="4" s="1"/>
  <c r="AR12" i="4" s="1"/>
  <c r="AM12" i="4"/>
  <c r="W21" i="4"/>
  <c r="Y21" i="4" s="1"/>
  <c r="AR21" i="4" s="1"/>
  <c r="AM21" i="4"/>
  <c r="AL10" i="5"/>
  <c r="AK10" i="5"/>
  <c r="AX10" i="5"/>
  <c r="AY10" i="5"/>
  <c r="U10" i="5"/>
  <c r="V10" i="5"/>
  <c r="AM65" i="4"/>
  <c r="W65" i="4"/>
  <c r="AM146" i="4"/>
  <c r="W146" i="4"/>
  <c r="Y146" i="4" s="1"/>
  <c r="AR146" i="4" s="1"/>
  <c r="W98" i="4"/>
  <c r="AM98" i="4"/>
  <c r="AM129" i="4"/>
  <c r="W129" i="4"/>
  <c r="AM136" i="4"/>
  <c r="W136" i="4"/>
  <c r="W87" i="4"/>
  <c r="Y87" i="4" s="1"/>
  <c r="AR87" i="4" s="1"/>
  <c r="AM87" i="4"/>
  <c r="W34" i="4"/>
  <c r="Y34" i="4" s="1"/>
  <c r="AR34" i="4" s="1"/>
  <c r="AM34" i="4"/>
  <c r="W48" i="4"/>
  <c r="Y48" i="4" s="1"/>
  <c r="AR48" i="4" s="1"/>
  <c r="AM48" i="4"/>
  <c r="W68" i="4"/>
  <c r="Y68" i="4" s="1"/>
  <c r="AR68" i="4" s="1"/>
  <c r="AM68" i="4"/>
  <c r="AM46" i="4"/>
  <c r="W46" i="4"/>
  <c r="Y46" i="4" s="1"/>
  <c r="AR46" i="4" s="1"/>
  <c r="AM62" i="4"/>
  <c r="W62" i="4"/>
  <c r="W39" i="4"/>
  <c r="Y39" i="4" s="1"/>
  <c r="AR39" i="4" s="1"/>
  <c r="AM39" i="4"/>
  <c r="W9" i="4"/>
  <c r="Y9" i="4" s="1"/>
  <c r="AR9" i="4" s="1"/>
  <c r="AM9" i="4"/>
  <c r="AM100" i="4"/>
  <c r="W100" i="4"/>
  <c r="Y100" i="4" s="1"/>
  <c r="AR100" i="4" s="1"/>
  <c r="AM130" i="4"/>
  <c r="W130" i="4"/>
  <c r="AM78" i="4"/>
  <c r="W78" i="4"/>
  <c r="W55" i="4"/>
  <c r="AM55" i="4"/>
  <c r="W27" i="4"/>
  <c r="Y27" i="4" s="1"/>
  <c r="AR27" i="4" s="1"/>
  <c r="AM27" i="4"/>
  <c r="AM140" i="4"/>
  <c r="W140" i="4"/>
  <c r="W106" i="4"/>
  <c r="AM106" i="4"/>
  <c r="W35" i="4"/>
  <c r="Y35" i="4" s="1"/>
  <c r="AR35" i="4" s="1"/>
  <c r="AM35" i="4"/>
  <c r="W10" i="4"/>
  <c r="Y10" i="4" s="1"/>
  <c r="AR10" i="4" s="1"/>
  <c r="AM10" i="4"/>
  <c r="W51" i="4"/>
  <c r="Y51" i="4" s="1"/>
  <c r="AR51" i="4" s="1"/>
  <c r="AM51" i="4"/>
  <c r="W57" i="4"/>
  <c r="AM57" i="4"/>
  <c r="AM142" i="4"/>
  <c r="W142" i="4"/>
  <c r="AV10" i="5"/>
  <c r="AU10" i="5"/>
  <c r="BC10" i="5"/>
  <c r="B64" i="2"/>
  <c r="B66" i="2"/>
  <c r="B67" i="2" s="1"/>
  <c r="AV107" i="4"/>
  <c r="U107" i="4"/>
  <c r="AV116" i="4"/>
  <c r="U116" i="4"/>
  <c r="AV45" i="4"/>
  <c r="U45" i="4"/>
  <c r="AV72" i="4"/>
  <c r="U72" i="4"/>
  <c r="AV90" i="4"/>
  <c r="U90" i="4"/>
  <c r="AV32" i="4"/>
  <c r="U32" i="4"/>
  <c r="AV86" i="4"/>
  <c r="U86" i="4"/>
  <c r="AV42" i="4"/>
  <c r="U42" i="4"/>
  <c r="AV132" i="4"/>
  <c r="U132" i="4"/>
  <c r="U7" i="4"/>
  <c r="AV7" i="4"/>
  <c r="AV17" i="4"/>
  <c r="U17" i="4"/>
  <c r="U101" i="4"/>
  <c r="AV101" i="4"/>
  <c r="AV52" i="4"/>
  <c r="U52" i="4"/>
  <c r="AV14" i="4"/>
  <c r="U14" i="4"/>
  <c r="AV143" i="4"/>
  <c r="U143" i="4"/>
  <c r="AV36" i="4"/>
  <c r="U36" i="4"/>
  <c r="AV154" i="4"/>
  <c r="U154" i="4"/>
  <c r="X185" i="5"/>
  <c r="Y185" i="5"/>
  <c r="X310" i="5"/>
  <c r="Y310" i="5"/>
  <c r="X264" i="5"/>
  <c r="Y264" i="5"/>
  <c r="Y202" i="5"/>
  <c r="X202" i="5"/>
  <c r="X489" i="5"/>
  <c r="Y489" i="5"/>
  <c r="Y250" i="5"/>
  <c r="X250" i="5"/>
  <c r="X232" i="5"/>
  <c r="Y232" i="5"/>
  <c r="X431" i="5"/>
  <c r="Y431" i="5"/>
  <c r="Y363" i="5"/>
  <c r="X363" i="5"/>
  <c r="Y51" i="5"/>
  <c r="X51" i="5"/>
  <c r="X107" i="5"/>
  <c r="Y107" i="5"/>
  <c r="X225" i="5"/>
  <c r="Y225" i="5"/>
  <c r="X91" i="5"/>
  <c r="Y91" i="5"/>
  <c r="X132" i="5"/>
  <c r="Y132" i="5"/>
  <c r="X12" i="5"/>
  <c r="Y12" i="5"/>
  <c r="X258" i="5"/>
  <c r="Y258" i="5"/>
  <c r="Y513" i="5"/>
  <c r="X513" i="5"/>
  <c r="Y316" i="5"/>
  <c r="X316" i="5"/>
  <c r="X512" i="5"/>
  <c r="Y512" i="5"/>
  <c r="X100" i="5"/>
  <c r="Y100" i="5"/>
  <c r="X347" i="5"/>
  <c r="Y347" i="5"/>
  <c r="Y533" i="5"/>
  <c r="X533" i="5"/>
  <c r="X111" i="5"/>
  <c r="Y111" i="5"/>
  <c r="X303" i="5"/>
  <c r="Y303" i="5"/>
  <c r="X197" i="5"/>
  <c r="Y197" i="5"/>
  <c r="Y176" i="5"/>
  <c r="X176" i="5"/>
  <c r="Y367" i="5"/>
  <c r="X367" i="5"/>
  <c r="X141" i="5"/>
  <c r="Y141" i="5"/>
  <c r="X211" i="5"/>
  <c r="Y211" i="5"/>
  <c r="Y35" i="5"/>
  <c r="X35" i="5"/>
  <c r="X502" i="5"/>
  <c r="Y502" i="5"/>
  <c r="X95" i="5"/>
  <c r="Y95" i="5"/>
  <c r="Y407" i="5"/>
  <c r="X407" i="5"/>
  <c r="X172" i="5"/>
  <c r="Y172" i="5"/>
  <c r="X203" i="5"/>
  <c r="Y203" i="5"/>
  <c r="Y323" i="5"/>
  <c r="X323" i="5"/>
  <c r="Y28" i="5"/>
  <c r="X28" i="5"/>
  <c r="Y515" i="5"/>
  <c r="X515" i="5"/>
  <c r="Y255" i="5"/>
  <c r="X255" i="5"/>
  <c r="Y522" i="5"/>
  <c r="X522" i="5"/>
  <c r="X237" i="5"/>
  <c r="Y237" i="5"/>
  <c r="Y98" i="5"/>
  <c r="X98" i="5"/>
  <c r="Y233" i="5"/>
  <c r="X233" i="5"/>
  <c r="Y165" i="5"/>
  <c r="X165" i="5"/>
  <c r="X267" i="5"/>
  <c r="Y267" i="5"/>
  <c r="X173" i="5"/>
  <c r="Y173" i="5"/>
  <c r="X368" i="5"/>
  <c r="Y368" i="5"/>
  <c r="X215" i="5"/>
  <c r="Y215" i="5"/>
  <c r="X19" i="5"/>
  <c r="Y19" i="5"/>
  <c r="Y101" i="5"/>
  <c r="X101" i="5"/>
  <c r="Y480" i="5"/>
  <c r="X480" i="5"/>
  <c r="Y180" i="5"/>
  <c r="X180" i="5"/>
  <c r="Y418" i="5"/>
  <c r="X418" i="5"/>
  <c r="Y10" i="5"/>
  <c r="X10" i="5"/>
  <c r="X179" i="5"/>
  <c r="Y179" i="5"/>
  <c r="Y187" i="5"/>
  <c r="X187" i="5"/>
  <c r="Y343" i="5"/>
  <c r="X343" i="5"/>
  <c r="X388" i="5"/>
  <c r="Y388" i="5"/>
  <c r="X151" i="5"/>
  <c r="Y151" i="5"/>
  <c r="X23" i="5"/>
  <c r="Y23" i="5"/>
  <c r="X501" i="5"/>
  <c r="Y501" i="5"/>
  <c r="Y376" i="5"/>
  <c r="X376" i="5"/>
  <c r="X400" i="5"/>
  <c r="Y400" i="5"/>
  <c r="Y7" i="5"/>
  <c r="X7" i="5"/>
  <c r="AV131" i="4"/>
  <c r="U131" i="4"/>
  <c r="AV11" i="4"/>
  <c r="U11" i="4"/>
  <c r="AV112" i="4"/>
  <c r="U112" i="4"/>
  <c r="AV134" i="4"/>
  <c r="U134" i="4"/>
  <c r="AV23" i="4"/>
  <c r="U23" i="4"/>
  <c r="AV115" i="4"/>
  <c r="U115" i="4"/>
  <c r="AV66" i="4"/>
  <c r="U66" i="4"/>
  <c r="AV125" i="4"/>
  <c r="U125" i="4"/>
  <c r="AV149" i="4"/>
  <c r="U149" i="4"/>
  <c r="AV22" i="4"/>
  <c r="U22" i="4"/>
  <c r="AV153" i="4"/>
  <c r="U153" i="4"/>
  <c r="AV40" i="4"/>
  <c r="U40" i="4"/>
  <c r="AV58" i="4"/>
  <c r="U58" i="4"/>
  <c r="AV77" i="4"/>
  <c r="U77" i="4"/>
  <c r="AV60" i="4"/>
  <c r="U60" i="4"/>
  <c r="AV156" i="4"/>
  <c r="U156" i="4"/>
  <c r="AV123" i="4"/>
  <c r="U123" i="4"/>
  <c r="AV18" i="4"/>
  <c r="U18" i="4"/>
  <c r="AV110" i="4"/>
  <c r="U110" i="4"/>
  <c r="AV127" i="4"/>
  <c r="U127" i="4"/>
  <c r="AV26" i="4"/>
  <c r="U26" i="4"/>
  <c r="U75" i="4"/>
  <c r="AV75" i="4"/>
  <c r="AV124" i="4"/>
  <c r="U124" i="4"/>
  <c r="AV38" i="4"/>
  <c r="U38" i="4"/>
  <c r="AV152" i="4"/>
  <c r="U152" i="4"/>
  <c r="AV133" i="4"/>
  <c r="U133" i="4"/>
  <c r="AV73" i="4"/>
  <c r="U73" i="4"/>
  <c r="AV92" i="4"/>
  <c r="U92" i="4"/>
  <c r="AV155" i="4"/>
  <c r="U155" i="4"/>
  <c r="AV13" i="4"/>
  <c r="U13" i="4"/>
  <c r="AV157" i="4"/>
  <c r="U157" i="4"/>
  <c r="AV111" i="4"/>
  <c r="U111" i="4"/>
  <c r="AV49" i="4"/>
  <c r="U49" i="4"/>
  <c r="AV19" i="4"/>
  <c r="U19" i="4"/>
  <c r="AV71" i="4"/>
  <c r="U71" i="4"/>
  <c r="U103" i="4"/>
  <c r="AV103" i="4"/>
  <c r="AV12" i="4"/>
  <c r="U12" i="4"/>
  <c r="AV21" i="4"/>
  <c r="U21" i="4"/>
  <c r="AG393" i="5"/>
  <c r="AG181" i="5"/>
  <c r="AG352" i="5"/>
  <c r="AG96" i="5"/>
  <c r="AG367" i="5"/>
  <c r="AG324" i="5"/>
  <c r="AG72" i="5"/>
  <c r="AG220" i="5"/>
  <c r="AG158" i="5"/>
  <c r="AG463" i="5"/>
  <c r="AG184" i="5"/>
  <c r="AG247" i="5"/>
  <c r="AG164" i="5"/>
  <c r="B74" i="5"/>
  <c r="AG88" i="5"/>
  <c r="AG134" i="5"/>
  <c r="AG192" i="5"/>
  <c r="AG165" i="5"/>
  <c r="AG13" i="5"/>
  <c r="AG411" i="5"/>
  <c r="AG298" i="5"/>
  <c r="AG29" i="5"/>
  <c r="AG155" i="5"/>
  <c r="AG112" i="5"/>
  <c r="AG213" i="5"/>
  <c r="AG84" i="5"/>
  <c r="AG374" i="5"/>
  <c r="AG186" i="5"/>
  <c r="AG274" i="5"/>
  <c r="AG89" i="5"/>
  <c r="AG450" i="5"/>
  <c r="AG448" i="5"/>
  <c r="AG483" i="5"/>
  <c r="AG94" i="5"/>
  <c r="AG30" i="5"/>
  <c r="AG236" i="5"/>
  <c r="AG321" i="5"/>
  <c r="AG170" i="5"/>
  <c r="AG98" i="5"/>
  <c r="AG416" i="5"/>
  <c r="AG378" i="5"/>
  <c r="AG22" i="5"/>
  <c r="AG243" i="5"/>
  <c r="AG116" i="5"/>
  <c r="AG66" i="5"/>
  <c r="AG377" i="5"/>
  <c r="AG110" i="5"/>
  <c r="AG195" i="5"/>
  <c r="AG355" i="5"/>
  <c r="AG219" i="5"/>
  <c r="AG149" i="5"/>
  <c r="AG35" i="5"/>
  <c r="AG143" i="5"/>
  <c r="AG360" i="5"/>
  <c r="AG252" i="5"/>
  <c r="AG468" i="5"/>
  <c r="AG269" i="5"/>
  <c r="AG266" i="5"/>
  <c r="AG150" i="5"/>
  <c r="AG451" i="5"/>
  <c r="AG364" i="5"/>
  <c r="AG383" i="5"/>
  <c r="AG182" i="5"/>
  <c r="AG496" i="5"/>
  <c r="AG510" i="5"/>
  <c r="AG46" i="5"/>
  <c r="AG418" i="5"/>
  <c r="AG199" i="5"/>
  <c r="AG81" i="5"/>
  <c r="AG71" i="5"/>
  <c r="AG249" i="5"/>
  <c r="AG459" i="5"/>
  <c r="AG331" i="5"/>
  <c r="AG441" i="5"/>
  <c r="AG508" i="5"/>
  <c r="AG458" i="5"/>
  <c r="AG506" i="5"/>
  <c r="AG144" i="5"/>
  <c r="AG351" i="5"/>
  <c r="AG261" i="5"/>
  <c r="AG407" i="5"/>
  <c r="AG348" i="5"/>
  <c r="AG500" i="5"/>
  <c r="AG415" i="5"/>
  <c r="AG344" i="5"/>
  <c r="AG555" i="5"/>
  <c r="AG193" i="5"/>
  <c r="AG54" i="5"/>
  <c r="AG521" i="5"/>
  <c r="AG73" i="5"/>
  <c r="AG311" i="5"/>
  <c r="AG163" i="5"/>
  <c r="AG504" i="5"/>
  <c r="AG542" i="5"/>
  <c r="AG475" i="5"/>
  <c r="AG502" i="5"/>
  <c r="AG467" i="5"/>
  <c r="AG205" i="5"/>
  <c r="AG400" i="5"/>
  <c r="AG420" i="5"/>
  <c r="AG290" i="5"/>
  <c r="AG47" i="5"/>
  <c r="AG145" i="5"/>
  <c r="AG267" i="5"/>
  <c r="AG361" i="5"/>
  <c r="AG142" i="5"/>
  <c r="AG183" i="5"/>
  <c r="AG226" i="5"/>
  <c r="AG187" i="5"/>
  <c r="AG75" i="5"/>
  <c r="AG68" i="5"/>
  <c r="AG52" i="5"/>
  <c r="AG224" i="5"/>
  <c r="AG547" i="5"/>
  <c r="AG190" i="5"/>
  <c r="AG173" i="5"/>
  <c r="AG437" i="5"/>
  <c r="AG436" i="5"/>
  <c r="AG172" i="5"/>
  <c r="AG40" i="5"/>
  <c r="AG336" i="5"/>
  <c r="AG390" i="5"/>
  <c r="AG202" i="5"/>
  <c r="AG534" i="5"/>
  <c r="AG365" i="5"/>
  <c r="AG325" i="5"/>
  <c r="AG117" i="5"/>
  <c r="AG526" i="5"/>
  <c r="AG453" i="5"/>
  <c r="AG97" i="5"/>
  <c r="AG101" i="5"/>
  <c r="AG515" i="5"/>
  <c r="AG303" i="5"/>
  <c r="AG211" i="5"/>
  <c r="AG301" i="5"/>
  <c r="AG215" i="5"/>
  <c r="AG412" i="5"/>
  <c r="AG295" i="5"/>
  <c r="AG346" i="5"/>
  <c r="AG402" i="5"/>
  <c r="AG42" i="5"/>
  <c r="AG503" i="5"/>
  <c r="AG449" i="5"/>
  <c r="AG85" i="5"/>
  <c r="AG131" i="5"/>
  <c r="AG111" i="5"/>
  <c r="AG532" i="5"/>
  <c r="AG341" i="5"/>
  <c r="AG241" i="5"/>
  <c r="AG345" i="5"/>
  <c r="AG263" i="5"/>
  <c r="AG444" i="5"/>
  <c r="AG105" i="5"/>
  <c r="AG552" i="5"/>
  <c r="AG357" i="5"/>
  <c r="AG371" i="5"/>
  <c r="AG498" i="5"/>
  <c r="AG93" i="5"/>
  <c r="AG197" i="5"/>
  <c r="AG27" i="5"/>
  <c r="AG80" i="5"/>
  <c r="AG115" i="5"/>
  <c r="AG489" i="5"/>
  <c r="AG442" i="5"/>
  <c r="AG476" i="5"/>
  <c r="AG531" i="5"/>
  <c r="AG545" i="5"/>
  <c r="AG512" i="5"/>
  <c r="AG445" i="5"/>
  <c r="AG353" i="5"/>
  <c r="AG179" i="5"/>
  <c r="AG39" i="5"/>
  <c r="AG235" i="5"/>
  <c r="AG491" i="5"/>
  <c r="AG537" i="5"/>
  <c r="AG517" i="5"/>
  <c r="AG394" i="5"/>
  <c r="AG25" i="5"/>
  <c r="AG139" i="5"/>
  <c r="AG315" i="5"/>
  <c r="AG556" i="5"/>
  <c r="AG369" i="5"/>
  <c r="AG559" i="5"/>
  <c r="AG388" i="5"/>
  <c r="AG434" i="5"/>
  <c r="AG514" i="5"/>
  <c r="AG44" i="5"/>
  <c r="AG160" i="5"/>
  <c r="AG466" i="5"/>
  <c r="AG395" i="5"/>
  <c r="AG191" i="5"/>
  <c r="AG140" i="5"/>
  <c r="AG478" i="5"/>
  <c r="AG76" i="5"/>
  <c r="AG95" i="5"/>
  <c r="AG350" i="5"/>
  <c r="AG106" i="5"/>
  <c r="AG340" i="5"/>
  <c r="AG232" i="5"/>
  <c r="AG404" i="5"/>
  <c r="AG318" i="5"/>
  <c r="AG276" i="5"/>
  <c r="AG544" i="5"/>
  <c r="AG379" i="5"/>
  <c r="AG399" i="5"/>
  <c r="AG154" i="5"/>
  <c r="AG471" i="5"/>
  <c r="AG138" i="5"/>
  <c r="AG372" i="5"/>
  <c r="AG530" i="5"/>
  <c r="AG157" i="5"/>
  <c r="AG20" i="5"/>
  <c r="AG306" i="5"/>
  <c r="AG322" i="5"/>
  <c r="AG148" i="5"/>
  <c r="AG310" i="5"/>
  <c r="AG465" i="5"/>
  <c r="AG258" i="5"/>
  <c r="AG501" i="5"/>
  <c r="AG147" i="5"/>
  <c r="AG285" i="5"/>
  <c r="AG505" i="5"/>
  <c r="AG49" i="5"/>
  <c r="AG535" i="5"/>
  <c r="AG177" i="5"/>
  <c r="AG329" i="5"/>
  <c r="AG487" i="5"/>
  <c r="AG440" i="5"/>
  <c r="AG278" i="5"/>
  <c r="AG171" i="5"/>
  <c r="AG474" i="5"/>
  <c r="AG438" i="5"/>
  <c r="AG273" i="5"/>
  <c r="AG349" i="5"/>
  <c r="AG516" i="5"/>
  <c r="AG507" i="5"/>
  <c r="AG433" i="5"/>
  <c r="AG107" i="5"/>
  <c r="AG86" i="5"/>
  <c r="AG53" i="5"/>
  <c r="AG221" i="5"/>
  <c r="AG79" i="5"/>
  <c r="AG533" i="5"/>
  <c r="AG370" i="5"/>
  <c r="AG100" i="5"/>
  <c r="AG12" i="5"/>
  <c r="AG338" i="5"/>
  <c r="AG228" i="5"/>
  <c r="AG282" i="5"/>
  <c r="AG188" i="5"/>
  <c r="AG122" i="5"/>
  <c r="AG426" i="5"/>
  <c r="AG166" i="5"/>
  <c r="AG334" i="5"/>
  <c r="AG246" i="5"/>
  <c r="AG203" i="5"/>
  <c r="AG244" i="5"/>
  <c r="AG366" i="5"/>
  <c r="AG135" i="5"/>
  <c r="AG114" i="5"/>
  <c r="AG391" i="5"/>
  <c r="AG271" i="5"/>
  <c r="AG169" i="5"/>
  <c r="AG196" i="5"/>
  <c r="AG41" i="5"/>
  <c r="AG527" i="5"/>
  <c r="AG528" i="5"/>
  <c r="AG132" i="5"/>
  <c r="AG330" i="5"/>
  <c r="AG55" i="5"/>
  <c r="AG245" i="5"/>
  <c r="AG206" i="5"/>
  <c r="AG408" i="5"/>
  <c r="AG262" i="5"/>
  <c r="AG461" i="5"/>
  <c r="AG470" i="5"/>
  <c r="AG541" i="5"/>
  <c r="AG396" i="5"/>
  <c r="AG477" i="5"/>
  <c r="AG554" i="5"/>
  <c r="AG121" i="5"/>
  <c r="AG33" i="5"/>
  <c r="AG485" i="5"/>
  <c r="AG64" i="5"/>
  <c r="AG230" i="5"/>
  <c r="AG120" i="5"/>
  <c r="AG137" i="5"/>
  <c r="AG289" i="5"/>
  <c r="AG560" i="5"/>
  <c r="AG540" i="5"/>
  <c r="AG223" i="5"/>
  <c r="AG287" i="5"/>
  <c r="AG189" i="5"/>
  <c r="AG61" i="5"/>
  <c r="AG387" i="5"/>
  <c r="AG293" i="5"/>
  <c r="AG439" i="5"/>
  <c r="AG422" i="5"/>
  <c r="AG525" i="5"/>
  <c r="AG380" i="5"/>
  <c r="AG292" i="5"/>
  <c r="AG494" i="5"/>
  <c r="AG104" i="5"/>
  <c r="AG119" i="5"/>
  <c r="AG34" i="5"/>
  <c r="AG495" i="5"/>
  <c r="AG279" i="5"/>
  <c r="AG397" i="5"/>
  <c r="AG259" i="5"/>
  <c r="AG410" i="5"/>
  <c r="AG109" i="5"/>
  <c r="AG339" i="5"/>
  <c r="AG354" i="5"/>
  <c r="AG45" i="5"/>
  <c r="AG256" i="5"/>
  <c r="AG26" i="5"/>
  <c r="AG82" i="5"/>
  <c r="AG430" i="5"/>
  <c r="AG65" i="5"/>
  <c r="AG307" i="5"/>
  <c r="AG208" i="5"/>
  <c r="AG314" i="5"/>
  <c r="AG214" i="5"/>
  <c r="AG456" i="5"/>
  <c r="AG136" i="5"/>
  <c r="AG543" i="5"/>
  <c r="AG304" i="5"/>
  <c r="AG272" i="5"/>
  <c r="AG48" i="5"/>
  <c r="AG457" i="5"/>
  <c r="AG180" i="5"/>
  <c r="AG62" i="5"/>
  <c r="AG405" i="5"/>
  <c r="AG553" i="5"/>
  <c r="AG275" i="5"/>
  <c r="AG257" i="5"/>
  <c r="AG233" i="5"/>
  <c r="AG37" i="5"/>
  <c r="AG99" i="5"/>
  <c r="AG58" i="5"/>
  <c r="AG239" i="5"/>
  <c r="AG429" i="5"/>
  <c r="AG201" i="5"/>
  <c r="AG67" i="5"/>
  <c r="AG36" i="5"/>
  <c r="AG60" i="5"/>
  <c r="AG227" i="5"/>
  <c r="AG92" i="5"/>
  <c r="AG43" i="5"/>
  <c r="AG337" i="5"/>
  <c r="AG251" i="5"/>
  <c r="AG432" i="5"/>
  <c r="AG519" i="5"/>
  <c r="AG392" i="5"/>
  <c r="AG305" i="5"/>
  <c r="AG469" i="5"/>
  <c r="AG493" i="5"/>
  <c r="AG320" i="5"/>
  <c r="AG481" i="5"/>
  <c r="AG490" i="5"/>
  <c r="AG21" i="5"/>
  <c r="AG300" i="5"/>
  <c r="AG124" i="5"/>
  <c r="AG435" i="5"/>
  <c r="AG447" i="5"/>
  <c r="AG123" i="5"/>
  <c r="AG332" i="5"/>
  <c r="AG240" i="5"/>
  <c r="AG87" i="5"/>
  <c r="AG102" i="5"/>
  <c r="AG452" i="5"/>
  <c r="AG520" i="5"/>
  <c r="AG425" i="5"/>
  <c r="AG381" i="5"/>
  <c r="AG492" i="5"/>
  <c r="AG359" i="5"/>
  <c r="AG462" i="5"/>
  <c r="AG294" i="5"/>
  <c r="AG277" i="5"/>
  <c r="AG557" i="5"/>
  <c r="AG317" i="5"/>
  <c r="AG523" i="5"/>
  <c r="AG130" i="5"/>
  <c r="AG128" i="5"/>
  <c r="AG253" i="5"/>
  <c r="AG57" i="5"/>
  <c r="AG362" i="5"/>
  <c r="AG486" i="5"/>
  <c r="AG10" i="5"/>
  <c r="AG242" i="5"/>
  <c r="AG428" i="5"/>
  <c r="AG141" i="5"/>
  <c r="AG59" i="5"/>
  <c r="AG327" i="5"/>
  <c r="AG185" i="5"/>
  <c r="AG209" i="5"/>
  <c r="AG319" i="5"/>
  <c r="AG255" i="5"/>
  <c r="AG129" i="5"/>
  <c r="AG175" i="5"/>
  <c r="AG63" i="5"/>
  <c r="AG347" i="5"/>
  <c r="AG238" i="5"/>
  <c r="AG419" i="5"/>
  <c r="AG382" i="5"/>
  <c r="AG316" i="5"/>
  <c r="AG363" i="5"/>
  <c r="AG151" i="5"/>
  <c r="AG499" i="5"/>
  <c r="AG356" i="5"/>
  <c r="AG159" i="5"/>
  <c r="AG312" i="5"/>
  <c r="AG146" i="5"/>
  <c r="AG413" i="5"/>
  <c r="AG133" i="5"/>
  <c r="AG313" i="5"/>
  <c r="AG174" i="5"/>
  <c r="AG7" i="5"/>
  <c r="AG403" i="5"/>
  <c r="AG443" i="5"/>
  <c r="AG50" i="5"/>
  <c r="AG125" i="5"/>
  <c r="AG302" i="5"/>
  <c r="AG473" i="5"/>
  <c r="AG283" i="5"/>
  <c r="AG161" i="5"/>
  <c r="AG24" i="5"/>
  <c r="AG231" i="5"/>
  <c r="AG69" i="5"/>
  <c r="AG91" i="5"/>
  <c r="AG70" i="5"/>
  <c r="AG156" i="5"/>
  <c r="AG389" i="5"/>
  <c r="AG250" i="5"/>
  <c r="AG168" i="5"/>
  <c r="AG333" i="5"/>
  <c r="AG291" i="5"/>
  <c r="AG77" i="5"/>
  <c r="AG207" i="5"/>
  <c r="AG222" i="5"/>
  <c r="AG78" i="5"/>
  <c r="AG56" i="5"/>
  <c r="AG19" i="5"/>
  <c r="AG167" i="5"/>
  <c r="AG178" i="5"/>
  <c r="AG225" i="5"/>
  <c r="AG472" i="5"/>
  <c r="AG200" i="5"/>
  <c r="AG518" i="5"/>
  <c r="AG342" i="5"/>
  <c r="AG260" i="5"/>
  <c r="AG539" i="5"/>
  <c r="AG152" i="5"/>
  <c r="AG28" i="5"/>
  <c r="AG511" i="5"/>
  <c r="AG153" i="5"/>
  <c r="AG268" i="5"/>
  <c r="AG308" i="5"/>
  <c r="AG509" i="5"/>
  <c r="AG118" i="5"/>
  <c r="AG103" i="5"/>
  <c r="AG558" i="5"/>
  <c r="AG270" i="5"/>
  <c r="AG323" i="5"/>
  <c r="AG212" i="5"/>
  <c r="AG113" i="5"/>
  <c r="AG284" i="5"/>
  <c r="AG488" i="5"/>
  <c r="AG358" i="5"/>
  <c r="AG204" i="5"/>
  <c r="AG538" i="5"/>
  <c r="AG234" i="5"/>
  <c r="AG548" i="5"/>
  <c r="AG409" i="5"/>
  <c r="AG237" i="5"/>
  <c r="AG522" i="5"/>
  <c r="AG296" i="5"/>
  <c r="AG427" i="5"/>
  <c r="AG176" i="5"/>
  <c r="AG127" i="5"/>
  <c r="AG265" i="5"/>
  <c r="AG368" i="5"/>
  <c r="AG281" i="5"/>
  <c r="AG38" i="5"/>
  <c r="AG23" i="5"/>
  <c r="AG248" i="5"/>
  <c r="AG108" i="5"/>
  <c r="AG217" i="5"/>
  <c r="AG385" i="5"/>
  <c r="AG254" i="5"/>
  <c r="AG373" i="5"/>
  <c r="AG297" i="5"/>
  <c r="AG549" i="5"/>
  <c r="AG328" i="5"/>
  <c r="AG32" i="5"/>
  <c r="AG210" i="5"/>
  <c r="AG74" i="5"/>
  <c r="AG384" i="5"/>
  <c r="AG126" i="5"/>
  <c r="AG83" i="5"/>
  <c r="AG31" i="5"/>
  <c r="AG280" i="5"/>
  <c r="AG431" i="5"/>
  <c r="AG479" i="5"/>
  <c r="AG198" i="5"/>
  <c r="AG536" i="5"/>
  <c r="AG90" i="5"/>
  <c r="AG454" i="5"/>
  <c r="AG406" i="5"/>
  <c r="AG229" i="5"/>
  <c r="AG309" i="5"/>
  <c r="AG551" i="5"/>
  <c r="AG464" i="5"/>
  <c r="AG401" i="5"/>
  <c r="AG529" i="5"/>
  <c r="AG376" i="5"/>
  <c r="AG550" i="5"/>
  <c r="AG484" i="5"/>
  <c r="AG455" i="5"/>
  <c r="AG326" i="5"/>
  <c r="AG414" i="5"/>
  <c r="AG375" i="5"/>
  <c r="AG497" i="5"/>
  <c r="AG288" i="5"/>
  <c r="AG421" i="5"/>
  <c r="AG460" i="5"/>
  <c r="AG8" i="5"/>
  <c r="AG480" i="5"/>
  <c r="AG417" i="5"/>
  <c r="AG546" i="5"/>
  <c r="AG162" i="5"/>
  <c r="AG423" i="5"/>
  <c r="AG286" i="5"/>
  <c r="AG194" i="5"/>
  <c r="AG386" i="5"/>
  <c r="AG398" i="5"/>
  <c r="AG51" i="5"/>
  <c r="AG524" i="5"/>
  <c r="AG446" i="5"/>
  <c r="AG299" i="5"/>
  <c r="AG424" i="5"/>
  <c r="AG513" i="5"/>
  <c r="AG482" i="5"/>
  <c r="AG343" i="5"/>
  <c r="AG216" i="5"/>
  <c r="AG264" i="5"/>
  <c r="AG335" i="5"/>
  <c r="AG218" i="5"/>
  <c r="AM430" i="5"/>
  <c r="AM417" i="5"/>
  <c r="AM516" i="5"/>
  <c r="AM232" i="5"/>
  <c r="AM467" i="5"/>
  <c r="AM175" i="5"/>
  <c r="AM245" i="5"/>
  <c r="AM280" i="5"/>
  <c r="AM373" i="5"/>
  <c r="AM257" i="5"/>
  <c r="AM261" i="5"/>
  <c r="AM235" i="5"/>
  <c r="AM139" i="5"/>
  <c r="AM157" i="5"/>
  <c r="AM114" i="5"/>
  <c r="AM40" i="5"/>
  <c r="AM429" i="5"/>
  <c r="AM424" i="5"/>
  <c r="AM80" i="5"/>
  <c r="AM212" i="5"/>
  <c r="AM322" i="5"/>
  <c r="AM489" i="5"/>
  <c r="AM60" i="5"/>
  <c r="AM221" i="5"/>
  <c r="AM546" i="5"/>
  <c r="AM21" i="5"/>
  <c r="AM92" i="5"/>
  <c r="AM298" i="5"/>
  <c r="AM288" i="5"/>
  <c r="AM514" i="5"/>
  <c r="AM486" i="5"/>
  <c r="AM321" i="5"/>
  <c r="AM376" i="5"/>
  <c r="AM525" i="5"/>
  <c r="AM441" i="5"/>
  <c r="AM307" i="5"/>
  <c r="AM226" i="5"/>
  <c r="AM87" i="5"/>
  <c r="AM188" i="5"/>
  <c r="AM364" i="5"/>
  <c r="AM418" i="5"/>
  <c r="AM272" i="5"/>
  <c r="AM330" i="5"/>
  <c r="AM51" i="5"/>
  <c r="AM182" i="5"/>
  <c r="AM345" i="5"/>
  <c r="AM395" i="5"/>
  <c r="AM278" i="5"/>
  <c r="AM380" i="5"/>
  <c r="AM391" i="5"/>
  <c r="AM121" i="5"/>
  <c r="AM405" i="5"/>
  <c r="AM374" i="5"/>
  <c r="AM390" i="5"/>
  <c r="AM89" i="5"/>
  <c r="AM350" i="5"/>
  <c r="AM124" i="5"/>
  <c r="AM409" i="5"/>
  <c r="AM253" i="5"/>
  <c r="AM487" i="5"/>
  <c r="AM224" i="5"/>
  <c r="AM246" i="5"/>
  <c r="AM534" i="5"/>
  <c r="AM269" i="5"/>
  <c r="AM539" i="5"/>
  <c r="AM351" i="5"/>
  <c r="AM289" i="5"/>
  <c r="AM142" i="5"/>
  <c r="AM48" i="5"/>
  <c r="AM63" i="5"/>
  <c r="AM130" i="5"/>
  <c r="AM204" i="5"/>
  <c r="AM171" i="5"/>
  <c r="AM478" i="5"/>
  <c r="AM8" i="5"/>
  <c r="AM147" i="5"/>
  <c r="AM31" i="5"/>
  <c r="AM211" i="5"/>
  <c r="AM484" i="5"/>
  <c r="AM96" i="5"/>
  <c r="AM133" i="5"/>
  <c r="AM132" i="5"/>
  <c r="AM346" i="5"/>
  <c r="AM191" i="5"/>
  <c r="AM277" i="5"/>
  <c r="AM483" i="5"/>
  <c r="AM7" i="5"/>
  <c r="AM315" i="5"/>
  <c r="AM445" i="5"/>
  <c r="AM531" i="5"/>
  <c r="AM493" i="5"/>
  <c r="AM381" i="5"/>
  <c r="AM201" i="5"/>
  <c r="AM521" i="5"/>
  <c r="AM123" i="5"/>
  <c r="AM296" i="5"/>
  <c r="AM282" i="5"/>
  <c r="AM118" i="5"/>
  <c r="AM91" i="5"/>
  <c r="AM126" i="5"/>
  <c r="AM71" i="5"/>
  <c r="AM406" i="5"/>
  <c r="AM75" i="5"/>
  <c r="AM70" i="5"/>
  <c r="AM507" i="5"/>
  <c r="AM385" i="5"/>
  <c r="AM223" i="5"/>
  <c r="AM501" i="5"/>
  <c r="AM242" i="5"/>
  <c r="AM490" i="5"/>
  <c r="AM423" i="5"/>
  <c r="AM205" i="5"/>
  <c r="AM443" i="5"/>
  <c r="AM378" i="5"/>
  <c r="AM522" i="5"/>
  <c r="AM466" i="5"/>
  <c r="AM74" i="5"/>
  <c r="AM79" i="5"/>
  <c r="AM339" i="5"/>
  <c r="AM549" i="5"/>
  <c r="AM518" i="5"/>
  <c r="AM314" i="5"/>
  <c r="AM379" i="5"/>
  <c r="AM168" i="5"/>
  <c r="AM414" i="5"/>
  <c r="AM550" i="5"/>
  <c r="AM58" i="5"/>
  <c r="AM392" i="5"/>
  <c r="AM285" i="5"/>
  <c r="AM141" i="5"/>
  <c r="AM47" i="5"/>
  <c r="AM388" i="5"/>
  <c r="AM156" i="5"/>
  <c r="AM128" i="5"/>
  <c r="AM538" i="5"/>
  <c r="AM323" i="5"/>
  <c r="AM117" i="5"/>
  <c r="AM214" i="5"/>
  <c r="AM449" i="5"/>
  <c r="AM218" i="5"/>
  <c r="AM268" i="5"/>
  <c r="AM172" i="5"/>
  <c r="AM271" i="5"/>
  <c r="AM520" i="5"/>
  <c r="AM83" i="5"/>
  <c r="AM371" i="5"/>
  <c r="AM119" i="5"/>
  <c r="AM24" i="5"/>
  <c r="AM57" i="5"/>
  <c r="AM231" i="5"/>
  <c r="AM35" i="5"/>
  <c r="AM435" i="5"/>
  <c r="AM305" i="5"/>
  <c r="AM25" i="5"/>
  <c r="AM99" i="5"/>
  <c r="AM407" i="5"/>
  <c r="AM210" i="5"/>
  <c r="AM553" i="5"/>
  <c r="AM161" i="5"/>
  <c r="AM199" i="5"/>
  <c r="AM86" i="5"/>
  <c r="AM254" i="5"/>
  <c r="AM111" i="5"/>
  <c r="AM93" i="5"/>
  <c r="AM341" i="5"/>
  <c r="AM207" i="5"/>
  <c r="AM23" i="5"/>
  <c r="B78" i="5"/>
  <c r="AM76" i="5"/>
  <c r="AM250" i="5"/>
  <c r="AM508" i="5"/>
  <c r="AM331" i="5"/>
  <c r="AM167" i="5"/>
  <c r="AM270" i="5"/>
  <c r="AM238" i="5"/>
  <c r="AM103" i="5"/>
  <c r="AM436" i="5"/>
  <c r="AM361" i="5"/>
  <c r="AM20" i="5"/>
  <c r="AM422" i="5"/>
  <c r="AM122" i="5"/>
  <c r="AM476" i="5"/>
  <c r="AM488" i="5"/>
  <c r="AM180" i="5"/>
  <c r="AM197" i="5"/>
  <c r="AM428" i="5"/>
  <c r="AM471" i="5"/>
  <c r="AM185" i="5"/>
  <c r="AM256" i="5"/>
  <c r="AM480" i="5"/>
  <c r="AM29" i="5"/>
  <c r="AM360" i="5"/>
  <c r="AM511" i="5"/>
  <c r="AM458" i="5"/>
  <c r="AM174" i="5"/>
  <c r="AM527" i="5"/>
  <c r="AM465" i="5"/>
  <c r="AM227" i="5"/>
  <c r="AM540" i="5"/>
  <c r="AM498" i="5"/>
  <c r="AM208" i="5"/>
  <c r="AM347" i="5"/>
  <c r="AM349" i="5"/>
  <c r="AM532" i="5"/>
  <c r="AM506" i="5"/>
  <c r="AM59" i="5"/>
  <c r="AM303" i="5"/>
  <c r="AM300" i="5"/>
  <c r="AM367" i="5"/>
  <c r="AM150" i="5"/>
  <c r="AM528" i="5"/>
  <c r="AM470" i="5"/>
  <c r="AM44" i="5"/>
  <c r="AM49" i="5"/>
  <c r="AM100" i="5"/>
  <c r="AM492" i="5"/>
  <c r="AM472" i="5"/>
  <c r="AM401" i="5"/>
  <c r="AM131" i="5"/>
  <c r="AM468" i="5"/>
  <c r="AM234" i="5"/>
  <c r="AM173" i="5"/>
  <c r="AM359" i="5"/>
  <c r="AM384" i="5"/>
  <c r="AM399" i="5"/>
  <c r="AM137" i="5"/>
  <c r="AM523" i="5"/>
  <c r="AM460" i="5"/>
  <c r="AM496" i="5"/>
  <c r="AM477" i="5"/>
  <c r="AM317" i="5"/>
  <c r="AM203" i="5"/>
  <c r="AM403" i="5"/>
  <c r="AM310" i="5"/>
  <c r="AM43" i="5"/>
  <c r="AM505" i="5"/>
  <c r="AM113" i="5"/>
  <c r="AM294" i="5"/>
  <c r="AM52" i="5"/>
  <c r="AM247" i="5"/>
  <c r="AM45" i="5"/>
  <c r="AM495" i="5"/>
  <c r="AM415" i="5"/>
  <c r="AM475" i="5"/>
  <c r="AM461" i="5"/>
  <c r="AM500" i="5"/>
  <c r="AM67" i="5"/>
  <c r="AM338" i="5"/>
  <c r="AM229" i="5"/>
  <c r="AM138" i="5"/>
  <c r="AM165" i="5"/>
  <c r="AM554" i="5"/>
  <c r="AM559" i="5"/>
  <c r="AM442" i="5"/>
  <c r="AM279" i="5"/>
  <c r="AM352" i="5"/>
  <c r="AM115" i="5"/>
  <c r="AM453" i="5"/>
  <c r="AM97" i="5"/>
  <c r="AM158" i="5"/>
  <c r="AM356" i="5"/>
  <c r="AM220" i="5"/>
  <c r="AM19" i="5"/>
  <c r="AM510" i="5"/>
  <c r="AM389" i="5"/>
  <c r="AM293" i="5"/>
  <c r="AM102" i="5"/>
  <c r="AM90" i="5"/>
  <c r="AM163" i="5"/>
  <c r="AM127" i="5"/>
  <c r="AM94" i="5"/>
  <c r="AM335" i="5"/>
  <c r="AM27" i="5"/>
  <c r="AM291" i="5"/>
  <c r="AM357" i="5"/>
  <c r="AM343" i="5"/>
  <c r="AM382" i="5"/>
  <c r="AM526" i="5"/>
  <c r="AM464" i="5"/>
  <c r="AM320" i="5"/>
  <c r="AM292" i="5"/>
  <c r="AM273" i="5"/>
  <c r="AM519" i="5"/>
  <c r="AM283" i="5"/>
  <c r="AM309" i="5"/>
  <c r="AM408" i="5"/>
  <c r="AM217" i="5"/>
  <c r="AM455" i="5"/>
  <c r="AM469" i="5"/>
  <c r="AM463" i="5"/>
  <c r="AM396" i="5"/>
  <c r="AM66" i="5"/>
  <c r="AM230" i="5"/>
  <c r="AM61" i="5"/>
  <c r="AM513" i="5"/>
  <c r="AM340" i="5"/>
  <c r="AM120" i="5"/>
  <c r="AM497" i="5"/>
  <c r="AM88" i="5"/>
  <c r="AM179" i="5"/>
  <c r="AM42" i="5"/>
  <c r="AM365" i="5"/>
  <c r="AM53" i="5"/>
  <c r="AM136" i="5"/>
  <c r="AM82" i="5"/>
  <c r="AM333" i="5"/>
  <c r="AM543" i="5"/>
  <c r="AM146" i="5"/>
  <c r="AM426" i="5"/>
  <c r="AM129" i="5"/>
  <c r="AM332" i="5"/>
  <c r="AM56" i="5"/>
  <c r="AM354" i="5"/>
  <c r="AM149" i="5"/>
  <c r="AM112" i="5"/>
  <c r="AM125" i="5"/>
  <c r="AM366" i="5"/>
  <c r="AM482" i="5"/>
  <c r="AM255" i="5"/>
  <c r="AM116" i="5"/>
  <c r="AM337" i="5"/>
  <c r="AM393" i="5"/>
  <c r="AM55" i="5"/>
  <c r="AM155" i="5"/>
  <c r="AM459" i="5"/>
  <c r="AM135" i="5"/>
  <c r="AM258" i="5"/>
  <c r="AM32" i="5"/>
  <c r="AM194" i="5"/>
  <c r="AM95" i="5"/>
  <c r="AM263" i="5"/>
  <c r="AM324" i="5"/>
  <c r="AM348" i="5"/>
  <c r="AM259" i="5"/>
  <c r="AM239" i="5"/>
  <c r="AM228" i="5"/>
  <c r="AM287" i="5"/>
  <c r="AM213" i="5"/>
  <c r="AM481" i="5"/>
  <c r="AM299" i="5"/>
  <c r="AM243" i="5"/>
  <c r="AM509" i="5"/>
  <c r="AM10" i="5"/>
  <c r="AM369" i="5"/>
  <c r="AM39" i="5"/>
  <c r="AM537" i="5"/>
  <c r="AM499" i="5"/>
  <c r="AM110" i="5"/>
  <c r="AM81" i="5"/>
  <c r="AM248" i="5"/>
  <c r="AM370" i="5"/>
  <c r="AM437" i="5"/>
  <c r="AM548" i="5"/>
  <c r="AM73" i="5"/>
  <c r="AM206" i="5"/>
  <c r="AM342" i="5"/>
  <c r="AM236" i="5"/>
  <c r="AM485" i="5"/>
  <c r="AM542" i="5"/>
  <c r="AM434" i="5"/>
  <c r="AM517" i="5"/>
  <c r="AM184" i="5"/>
  <c r="AM431" i="5"/>
  <c r="AM456" i="5"/>
  <c r="AM26" i="5"/>
  <c r="AM336" i="5"/>
  <c r="AM50" i="5"/>
  <c r="AM85" i="5"/>
  <c r="AM105" i="5"/>
  <c r="AM302" i="5"/>
  <c r="AM64" i="5"/>
  <c r="AM297" i="5"/>
  <c r="AM327" i="5"/>
  <c r="AM316" i="5"/>
  <c r="AM34" i="5"/>
  <c r="AM264" i="5"/>
  <c r="AM387" i="5"/>
  <c r="AM65" i="5"/>
  <c r="AM198" i="5"/>
  <c r="AM556" i="5"/>
  <c r="AM383" i="5"/>
  <c r="AM363" i="5"/>
  <c r="AM440" i="5"/>
  <c r="AM145" i="5"/>
  <c r="AM107" i="5"/>
  <c r="AM186" i="5"/>
  <c r="AM398" i="5"/>
  <c r="AM169" i="5"/>
  <c r="AM536" i="5"/>
  <c r="AM368" i="5"/>
  <c r="AM400" i="5"/>
  <c r="AM36" i="5"/>
  <c r="AM325" i="5"/>
  <c r="AM386" i="5"/>
  <c r="AM46" i="5"/>
  <c r="AM439" i="5"/>
  <c r="AM144" i="5"/>
  <c r="AM101" i="5"/>
  <c r="AM304" i="5"/>
  <c r="AM362" i="5"/>
  <c r="AM108" i="5"/>
  <c r="AM12" i="5"/>
  <c r="AM457" i="5"/>
  <c r="AM530" i="5"/>
  <c r="AM170" i="5"/>
  <c r="AM419" i="5"/>
  <c r="AM319" i="5"/>
  <c r="AM249" i="5"/>
  <c r="AM196" i="5"/>
  <c r="AM267" i="5"/>
  <c r="AM233" i="5"/>
  <c r="AM552" i="5"/>
  <c r="AM244" i="5"/>
  <c r="AM176" i="5"/>
  <c r="AM502" i="5"/>
  <c r="AM290" i="5"/>
  <c r="AM413" i="5"/>
  <c r="AM462" i="5"/>
  <c r="AM410" i="5"/>
  <c r="AM318" i="5"/>
  <c r="AM515" i="5"/>
  <c r="AM219" i="5"/>
  <c r="AM262" i="5"/>
  <c r="AM334" i="5"/>
  <c r="AM358" i="5"/>
  <c r="AM533" i="5"/>
  <c r="AM555" i="5"/>
  <c r="AM402" i="5"/>
  <c r="AM438" i="5"/>
  <c r="AM284" i="5"/>
  <c r="AM181" i="5"/>
  <c r="AM547" i="5"/>
  <c r="AM535" i="5"/>
  <c r="AM529" i="5"/>
  <c r="AM22" i="5"/>
  <c r="AM311" i="5"/>
  <c r="AM189" i="5"/>
  <c r="AM372" i="5"/>
  <c r="AM433" i="5"/>
  <c r="AM98" i="5"/>
  <c r="AM225" i="5"/>
  <c r="AM444" i="5"/>
  <c r="AM134" i="5"/>
  <c r="AM301" i="5"/>
  <c r="AM153" i="5"/>
  <c r="AM260" i="5"/>
  <c r="AM544" i="5"/>
  <c r="AM326" i="5"/>
  <c r="AM432" i="5"/>
  <c r="AM524" i="5"/>
  <c r="AM512" i="5"/>
  <c r="AM281" i="5"/>
  <c r="AM454" i="5"/>
  <c r="AM154" i="5"/>
  <c r="AM491" i="5"/>
  <c r="AM69" i="5"/>
  <c r="AM178" i="5"/>
  <c r="AM159" i="5"/>
  <c r="AM344" i="5"/>
  <c r="AM195" i="5"/>
  <c r="AM353" i="5"/>
  <c r="AM54" i="5"/>
  <c r="AM545" i="5"/>
  <c r="AM313" i="5"/>
  <c r="AM160" i="5"/>
  <c r="AM416" i="5"/>
  <c r="AM109" i="5"/>
  <c r="AM425" i="5"/>
  <c r="AM275" i="5"/>
  <c r="AM13" i="5"/>
  <c r="AM421" i="5"/>
  <c r="AM276" i="5"/>
  <c r="AM193" i="5"/>
  <c r="AM504" i="5"/>
  <c r="AM306" i="5"/>
  <c r="AM479" i="5"/>
  <c r="AM450" i="5"/>
  <c r="AM541" i="5"/>
  <c r="AM328" i="5"/>
  <c r="AM448" i="5"/>
  <c r="AM295" i="5"/>
  <c r="AM394" i="5"/>
  <c r="AM177" i="5"/>
  <c r="AM312" i="5"/>
  <c r="AM28" i="5"/>
  <c r="AM209" i="5"/>
  <c r="AM215" i="5"/>
  <c r="AM152" i="5"/>
  <c r="AM38" i="5"/>
  <c r="AM192" i="5"/>
  <c r="AM202" i="5"/>
  <c r="AM164" i="5"/>
  <c r="AM474" i="5"/>
  <c r="AM183" i="5"/>
  <c r="AM503" i="5"/>
  <c r="AM72" i="5"/>
  <c r="AM241" i="5"/>
  <c r="AM446" i="5"/>
  <c r="AM473" i="5"/>
  <c r="AM143" i="5"/>
  <c r="AM329" i="5"/>
  <c r="AM240" i="5"/>
  <c r="AM286" i="5"/>
  <c r="AM265" i="5"/>
  <c r="AM140" i="5"/>
  <c r="AM557" i="5"/>
  <c r="AM447" i="5"/>
  <c r="AM452" i="5"/>
  <c r="AM494" i="5"/>
  <c r="AM106" i="5"/>
  <c r="AM427" i="5"/>
  <c r="AM41" i="5"/>
  <c r="AM375" i="5"/>
  <c r="AM84" i="5"/>
  <c r="AM420" i="5"/>
  <c r="AM62" i="5"/>
  <c r="AM412" i="5"/>
  <c r="AM148" i="5"/>
  <c r="AM216" i="5"/>
  <c r="AM30" i="5"/>
  <c r="AM222" i="5"/>
  <c r="AM33" i="5"/>
  <c r="AM187" i="5"/>
  <c r="AM200" i="5"/>
  <c r="AM308" i="5"/>
  <c r="AM266" i="5"/>
  <c r="AM404" i="5"/>
  <c r="AM162" i="5"/>
  <c r="AM377" i="5"/>
  <c r="AM77" i="5"/>
  <c r="AM166" i="5"/>
  <c r="AM355" i="5"/>
  <c r="AM190" i="5"/>
  <c r="AM252" i="5"/>
  <c r="AM558" i="5"/>
  <c r="AM104" i="5"/>
  <c r="AM274" i="5"/>
  <c r="AM68" i="5"/>
  <c r="AM37" i="5"/>
  <c r="AM251" i="5"/>
  <c r="AM451" i="5"/>
  <c r="AM151" i="5"/>
  <c r="AM237" i="5"/>
  <c r="AM551" i="5"/>
  <c r="AM560" i="5"/>
  <c r="AM411" i="5"/>
  <c r="AM397" i="5"/>
  <c r="AM78" i="5"/>
  <c r="Y344" i="5"/>
  <c r="X344" i="5"/>
  <c r="Y494" i="5"/>
  <c r="X494" i="5"/>
  <c r="Y463" i="5"/>
  <c r="X463" i="5"/>
  <c r="Y370" i="5"/>
  <c r="X370" i="5"/>
  <c r="Y13" i="5"/>
  <c r="X13" i="5"/>
  <c r="Y152" i="5"/>
  <c r="X152" i="5"/>
  <c r="X206" i="5"/>
  <c r="Y206" i="5"/>
  <c r="X137" i="5"/>
  <c r="Y137" i="5"/>
  <c r="Y218" i="5"/>
  <c r="X218" i="5"/>
  <c r="Y104" i="5"/>
  <c r="X104" i="5"/>
  <c r="X535" i="5"/>
  <c r="Y535" i="5"/>
  <c r="X230" i="5"/>
  <c r="Y230" i="5"/>
  <c r="Y292" i="5"/>
  <c r="X292" i="5"/>
  <c r="W9" i="5"/>
  <c r="T9" i="5"/>
  <c r="AG9" i="5"/>
  <c r="AZ9" i="5"/>
  <c r="Z9" i="5"/>
  <c r="AW9" i="5"/>
  <c r="AJ9" i="5"/>
  <c r="AT9" i="5"/>
  <c r="AM9" i="5"/>
  <c r="X43" i="5"/>
  <c r="Y43" i="5"/>
  <c r="X174" i="5"/>
  <c r="Y174" i="5"/>
  <c r="X430" i="5"/>
  <c r="Y430" i="5"/>
  <c r="X291" i="5"/>
  <c r="Y291" i="5"/>
  <c r="X260" i="5"/>
  <c r="Y260" i="5"/>
  <c r="Y529" i="5"/>
  <c r="X529" i="5"/>
  <c r="X163" i="5"/>
  <c r="Y163" i="5"/>
  <c r="Y57" i="5"/>
  <c r="X57" i="5"/>
  <c r="X113" i="5"/>
  <c r="Y113" i="5"/>
  <c r="X324" i="5"/>
  <c r="Y324" i="5"/>
  <c r="Y99" i="5"/>
  <c r="X99" i="5"/>
  <c r="Y277" i="5"/>
  <c r="X277" i="5"/>
  <c r="X201" i="5"/>
  <c r="Y201" i="5"/>
  <c r="X128" i="5"/>
  <c r="Y128" i="5"/>
  <c r="X41" i="5"/>
  <c r="Y41" i="5"/>
  <c r="Y479" i="5"/>
  <c r="X479" i="5"/>
  <c r="Y227" i="5"/>
  <c r="X227" i="5"/>
  <c r="X147" i="5"/>
  <c r="Y147" i="5"/>
  <c r="Y234" i="5"/>
  <c r="X234" i="5"/>
  <c r="Y560" i="5"/>
  <c r="X560" i="5"/>
  <c r="X54" i="5"/>
  <c r="Y54" i="5"/>
  <c r="Y559" i="5"/>
  <c r="X559" i="5"/>
  <c r="X285" i="5"/>
  <c r="Y285" i="5"/>
  <c r="X357" i="5"/>
  <c r="Y357" i="5"/>
  <c r="Y396" i="5"/>
  <c r="X396" i="5"/>
  <c r="X126" i="5"/>
  <c r="Y126" i="5"/>
  <c r="Y524" i="5"/>
  <c r="X524" i="5"/>
  <c r="X192" i="5"/>
  <c r="Y192" i="5"/>
  <c r="X8" i="5"/>
  <c r="Y8" i="5"/>
  <c r="Y254" i="5"/>
  <c r="X254" i="5"/>
  <c r="X373" i="5"/>
  <c r="Y373" i="5"/>
  <c r="Y276" i="5"/>
  <c r="X276" i="5"/>
  <c r="Y521" i="5"/>
  <c r="X521" i="5"/>
  <c r="X538" i="5"/>
  <c r="Y538" i="5"/>
  <c r="X484" i="5"/>
  <c r="Y484" i="5"/>
  <c r="Y290" i="5"/>
  <c r="X290" i="5"/>
  <c r="X550" i="5"/>
  <c r="Y550" i="5"/>
  <c r="Y547" i="5"/>
  <c r="X547" i="5"/>
  <c r="X241" i="5"/>
  <c r="Y241" i="5"/>
  <c r="X330" i="5"/>
  <c r="Y330" i="5"/>
  <c r="Y518" i="5"/>
  <c r="X518" i="5"/>
  <c r="X149" i="5"/>
  <c r="Y149" i="5"/>
  <c r="X554" i="5"/>
  <c r="Y554" i="5"/>
  <c r="Y361" i="5"/>
  <c r="X361" i="5"/>
  <c r="Y318" i="5"/>
  <c r="X318" i="5"/>
  <c r="Y455" i="5"/>
  <c r="X455" i="5"/>
  <c r="Y223" i="5"/>
  <c r="X223" i="5"/>
  <c r="X545" i="5"/>
  <c r="Y545" i="5"/>
  <c r="X338" i="5"/>
  <c r="Y338" i="5"/>
  <c r="X157" i="5"/>
  <c r="Y157" i="5"/>
  <c r="X503" i="5"/>
  <c r="Y503" i="5"/>
  <c r="Y558" i="5"/>
  <c r="X558" i="5"/>
  <c r="X119" i="5"/>
  <c r="Y119" i="5"/>
  <c r="Y481" i="5"/>
  <c r="X481" i="5"/>
  <c r="X332" i="5"/>
  <c r="Y332" i="5"/>
  <c r="Y191" i="5"/>
  <c r="X191" i="5"/>
  <c r="X76" i="5"/>
  <c r="Y76" i="5"/>
  <c r="Y281" i="5"/>
  <c r="X281" i="5"/>
  <c r="Y196" i="5"/>
  <c r="X196" i="5"/>
  <c r="Y452" i="5"/>
  <c r="X452" i="5"/>
  <c r="Y298" i="5"/>
  <c r="X298" i="5"/>
  <c r="Y461" i="5"/>
  <c r="X461" i="5"/>
  <c r="Y504" i="5"/>
  <c r="X504" i="5"/>
  <c r="X349" i="5"/>
  <c r="Y349" i="5"/>
  <c r="Y114" i="5"/>
  <c r="X114" i="5"/>
  <c r="Y394" i="5"/>
  <c r="X394" i="5"/>
  <c r="Y220" i="5"/>
  <c r="X220" i="5"/>
  <c r="X224" i="5"/>
  <c r="Y224" i="5"/>
  <c r="Y505" i="5"/>
  <c r="X505" i="5"/>
  <c r="X106" i="5"/>
  <c r="Y106" i="5"/>
  <c r="X302" i="5"/>
  <c r="Y302" i="5"/>
  <c r="X243" i="5"/>
  <c r="Y243" i="5"/>
  <c r="Y492" i="5"/>
  <c r="X492" i="5"/>
  <c r="X214" i="5"/>
  <c r="Y214" i="5"/>
  <c r="X549" i="5"/>
  <c r="Y549" i="5"/>
  <c r="X300" i="5"/>
  <c r="Y300" i="5"/>
  <c r="X37" i="5"/>
  <c r="Y37" i="5"/>
  <c r="Y553" i="5"/>
  <c r="X553" i="5"/>
  <c r="X426" i="5"/>
  <c r="Y426" i="5"/>
  <c r="Y60" i="5"/>
  <c r="X60" i="5"/>
  <c r="X476" i="5"/>
  <c r="Y476" i="5"/>
  <c r="Y70" i="5"/>
  <c r="X70" i="5"/>
  <c r="X69" i="5"/>
  <c r="Y69" i="5"/>
  <c r="X315" i="5"/>
  <c r="Y315" i="5"/>
  <c r="X271" i="5"/>
  <c r="Y271" i="5"/>
  <c r="X242" i="5"/>
  <c r="Y242" i="5"/>
  <c r="X433" i="5"/>
  <c r="Y433" i="5"/>
  <c r="X65" i="5"/>
  <c r="Y65" i="5"/>
  <c r="Y496" i="5"/>
  <c r="X496" i="5"/>
  <c r="Y80" i="5"/>
  <c r="X80" i="5"/>
  <c r="X556" i="5"/>
  <c r="Y556" i="5"/>
  <c r="X331" i="5"/>
  <c r="Y331" i="5"/>
  <c r="X238" i="5"/>
  <c r="Y238" i="5"/>
  <c r="X335" i="5"/>
  <c r="Y335" i="5"/>
  <c r="Y555" i="5"/>
  <c r="X555" i="5"/>
  <c r="X248" i="5"/>
  <c r="Y248" i="5"/>
  <c r="X352" i="5"/>
  <c r="Y352" i="5"/>
  <c r="Y440" i="5"/>
  <c r="X440" i="5"/>
  <c r="Y209" i="5"/>
  <c r="X209" i="5"/>
  <c r="X395" i="5"/>
  <c r="Y395" i="5"/>
  <c r="X507" i="5"/>
  <c r="Y507" i="5"/>
  <c r="X482" i="5"/>
  <c r="Y482" i="5"/>
  <c r="Y295" i="5"/>
  <c r="X295" i="5"/>
  <c r="X25" i="5"/>
  <c r="Y25" i="5"/>
  <c r="X296" i="5"/>
  <c r="Y296" i="5"/>
  <c r="X393" i="5"/>
  <c r="Y393" i="5"/>
  <c r="X121" i="5"/>
  <c r="Y121" i="5"/>
  <c r="Y166" i="5"/>
  <c r="X166" i="5"/>
  <c r="X30" i="5"/>
  <c r="Y30" i="5"/>
  <c r="Y198" i="5"/>
  <c r="X198" i="5"/>
  <c r="X36" i="5"/>
  <c r="Y36" i="5"/>
  <c r="Y110" i="5"/>
  <c r="X110" i="5"/>
  <c r="X415" i="5"/>
  <c r="Y415" i="5"/>
  <c r="Y217" i="5"/>
  <c r="X217" i="5"/>
  <c r="X253" i="5"/>
  <c r="Y253" i="5"/>
  <c r="Y115" i="5"/>
  <c r="X115" i="5"/>
  <c r="X381" i="5"/>
  <c r="Y381" i="5"/>
  <c r="X541" i="5"/>
  <c r="Y541" i="5"/>
  <c r="Y317" i="5"/>
  <c r="X317" i="5"/>
  <c r="X83" i="5"/>
  <c r="Y83" i="5"/>
  <c r="Y109" i="5"/>
  <c r="X109" i="5"/>
  <c r="X20" i="5"/>
  <c r="Y20" i="5"/>
  <c r="X249" i="5"/>
  <c r="Y249" i="5"/>
  <c r="AV81" i="4"/>
  <c r="U81" i="4"/>
  <c r="AV120" i="4"/>
  <c r="U120" i="4"/>
  <c r="AV117" i="4"/>
  <c r="U117" i="4"/>
  <c r="H29" i="1"/>
  <c r="K94" i="2"/>
  <c r="B84" i="2"/>
  <c r="B86" i="2" s="1"/>
  <c r="B87" i="2" s="1"/>
  <c r="H30" i="1" s="1"/>
  <c r="Y448" i="5"/>
  <c r="X448" i="5"/>
  <c r="X525" i="5"/>
  <c r="Y525" i="5"/>
  <c r="X22" i="5"/>
  <c r="Y22" i="5"/>
  <c r="Y333" i="5"/>
  <c r="X333" i="5"/>
  <c r="X500" i="5"/>
  <c r="Y500" i="5"/>
  <c r="Y103" i="5"/>
  <c r="X103" i="5"/>
  <c r="Y289" i="5"/>
  <c r="X289" i="5"/>
  <c r="Y404" i="5"/>
  <c r="X404" i="5"/>
  <c r="Y170" i="5"/>
  <c r="X170" i="5"/>
  <c r="Y287" i="5"/>
  <c r="X287" i="5"/>
  <c r="X389" i="5"/>
  <c r="Y389" i="5"/>
  <c r="X46" i="5"/>
  <c r="Y46" i="5"/>
  <c r="Y356" i="5"/>
  <c r="X356" i="5"/>
  <c r="X77" i="5"/>
  <c r="Y77" i="5"/>
  <c r="X58" i="5"/>
  <c r="Y58" i="5"/>
  <c r="X534" i="5"/>
  <c r="Y534" i="5"/>
  <c r="X50" i="5"/>
  <c r="Y50" i="5"/>
  <c r="X272" i="5"/>
  <c r="Y272" i="5"/>
  <c r="X355" i="5"/>
  <c r="Y355" i="5"/>
  <c r="X257" i="5"/>
  <c r="Y257" i="5"/>
  <c r="X364" i="5"/>
  <c r="Y364" i="5"/>
  <c r="X251" i="5"/>
  <c r="Y251" i="5"/>
  <c r="Y399" i="5"/>
  <c r="X399" i="5"/>
  <c r="Y464" i="5"/>
  <c r="X464" i="5"/>
  <c r="Y425" i="5"/>
  <c r="X425" i="5"/>
  <c r="Y40" i="5"/>
  <c r="X40" i="5"/>
  <c r="Y226" i="5"/>
  <c r="X226" i="5"/>
  <c r="Y150" i="5"/>
  <c r="X150" i="5"/>
  <c r="Y548" i="5"/>
  <c r="X548" i="5"/>
  <c r="Y105" i="5"/>
  <c r="X105" i="5"/>
  <c r="AV79" i="4"/>
  <c r="U79" i="4"/>
  <c r="AV151" i="4"/>
  <c r="U151" i="4"/>
  <c r="AV83" i="4"/>
  <c r="U83" i="4"/>
  <c r="AV28" i="4"/>
  <c r="U28" i="4"/>
  <c r="Y79" i="5"/>
  <c r="X79" i="5"/>
  <c r="X284" i="5"/>
  <c r="Y284" i="5"/>
  <c r="X96" i="5"/>
  <c r="Y96" i="5"/>
  <c r="X391" i="5"/>
  <c r="Y391" i="5"/>
  <c r="X129" i="5"/>
  <c r="Y129" i="5"/>
  <c r="Y387" i="5"/>
  <c r="X387" i="5"/>
  <c r="X530" i="5"/>
  <c r="Y530" i="5"/>
  <c r="X342" i="5"/>
  <c r="Y342" i="5"/>
  <c r="X528" i="5"/>
  <c r="Y528" i="5"/>
  <c r="X432" i="5"/>
  <c r="Y432" i="5"/>
  <c r="X134" i="5"/>
  <c r="Y134" i="5"/>
  <c r="X162" i="5"/>
  <c r="Y162" i="5"/>
  <c r="Y441" i="5"/>
  <c r="X441" i="5"/>
  <c r="Y194" i="5"/>
  <c r="X194" i="5"/>
  <c r="X252" i="5"/>
  <c r="Y252" i="5"/>
  <c r="X236" i="5"/>
  <c r="Y236" i="5"/>
  <c r="X222" i="5"/>
  <c r="Y222" i="5"/>
  <c r="X48" i="5"/>
  <c r="Y48" i="5"/>
  <c r="X63" i="5"/>
  <c r="Y63" i="5"/>
  <c r="X61" i="5"/>
  <c r="Y61" i="5"/>
  <c r="Y308" i="5"/>
  <c r="X308" i="5"/>
  <c r="X445" i="5"/>
  <c r="Y445" i="5"/>
  <c r="X457" i="5"/>
  <c r="Y457" i="5"/>
  <c r="Y120" i="5"/>
  <c r="X120" i="5"/>
  <c r="Y551" i="5"/>
  <c r="X551" i="5"/>
  <c r="Y509" i="5"/>
  <c r="X509" i="5"/>
  <c r="Y193" i="5"/>
  <c r="X193" i="5"/>
  <c r="X127" i="5"/>
  <c r="Y127" i="5"/>
  <c r="X188" i="5"/>
  <c r="Y188" i="5"/>
  <c r="Y510" i="5"/>
  <c r="X510" i="5"/>
  <c r="Y24" i="5"/>
  <c r="X24" i="5"/>
  <c r="Y539" i="5"/>
  <c r="X539" i="5"/>
  <c r="X161" i="5"/>
  <c r="Y161" i="5"/>
  <c r="Y270" i="5"/>
  <c r="X270" i="5"/>
  <c r="X72" i="5"/>
  <c r="Y72" i="5"/>
  <c r="X490" i="5"/>
  <c r="Y490" i="5"/>
  <c r="X108" i="5"/>
  <c r="Y108" i="5"/>
  <c r="X462" i="5"/>
  <c r="Y462" i="5"/>
  <c r="Y451" i="5"/>
  <c r="X451" i="5"/>
  <c r="Y97" i="5"/>
  <c r="X97" i="5"/>
  <c r="X405" i="5"/>
  <c r="Y405" i="5"/>
  <c r="Y495" i="5"/>
  <c r="X495" i="5"/>
  <c r="X183" i="5"/>
  <c r="Y183" i="5"/>
  <c r="Y82" i="5"/>
  <c r="X82" i="5"/>
  <c r="X33" i="5"/>
  <c r="Y33" i="5"/>
  <c r="X354" i="5"/>
  <c r="Y354" i="5"/>
  <c r="X56" i="5"/>
  <c r="Y56" i="5"/>
  <c r="X475" i="5"/>
  <c r="Y475" i="5"/>
  <c r="X523" i="5"/>
  <c r="Y523" i="5"/>
  <c r="Y299" i="5"/>
  <c r="X299" i="5"/>
  <c r="Y189" i="5"/>
  <c r="X189" i="5"/>
  <c r="Y67" i="5"/>
  <c r="X67" i="5"/>
  <c r="X374" i="5"/>
  <c r="Y374" i="5"/>
  <c r="Y468" i="5"/>
  <c r="X468" i="5"/>
  <c r="Y139" i="5"/>
  <c r="X139" i="5"/>
  <c r="Y421" i="5"/>
  <c r="X421" i="5"/>
  <c r="X469" i="5"/>
  <c r="Y469" i="5"/>
  <c r="X325" i="5"/>
  <c r="Y325" i="5"/>
  <c r="X123" i="5"/>
  <c r="Y123" i="5"/>
  <c r="Y517" i="5"/>
  <c r="X517" i="5"/>
  <c r="X138" i="5"/>
  <c r="Y138" i="5"/>
  <c r="Y59" i="5"/>
  <c r="X59" i="5"/>
  <c r="Y164" i="5"/>
  <c r="X164" i="5"/>
  <c r="X266" i="5"/>
  <c r="Y266" i="5"/>
  <c r="Y382" i="5"/>
  <c r="X382" i="5"/>
  <c r="Y62" i="5"/>
  <c r="X62" i="5"/>
  <c r="X506" i="5"/>
  <c r="Y506" i="5"/>
  <c r="X543" i="5"/>
  <c r="Y543" i="5"/>
  <c r="X282" i="5"/>
  <c r="Y282" i="5"/>
  <c r="X136" i="5"/>
  <c r="Y136" i="5"/>
  <c r="X273" i="5"/>
  <c r="Y273" i="5"/>
  <c r="X390" i="5"/>
  <c r="Y390" i="5"/>
  <c r="X350" i="5"/>
  <c r="Y350" i="5"/>
  <c r="Y228" i="5"/>
  <c r="X228" i="5"/>
  <c r="X467" i="5"/>
  <c r="Y467" i="5"/>
  <c r="X326" i="5"/>
  <c r="Y326" i="5"/>
  <c r="Y75" i="5"/>
  <c r="X75" i="5"/>
  <c r="Y294" i="5"/>
  <c r="X294" i="5"/>
  <c r="X178" i="5"/>
  <c r="Y178" i="5"/>
  <c r="Y491" i="5"/>
  <c r="X491" i="5"/>
  <c r="Y359" i="5"/>
  <c r="X359" i="5"/>
  <c r="Y385" i="5"/>
  <c r="X385" i="5"/>
  <c r="Y68" i="5"/>
  <c r="X68" i="5"/>
  <c r="X38" i="5"/>
  <c r="Y38" i="5"/>
  <c r="X542" i="5"/>
  <c r="Y542" i="5"/>
  <c r="X408" i="5"/>
  <c r="Y408" i="5"/>
  <c r="Y472" i="5"/>
  <c r="X472" i="5"/>
  <c r="X471" i="5"/>
  <c r="Y471" i="5"/>
  <c r="X29" i="5"/>
  <c r="Y29" i="5"/>
  <c r="X322" i="5"/>
  <c r="Y322" i="5"/>
  <c r="Y312" i="5"/>
  <c r="X312" i="5"/>
  <c r="X199" i="5"/>
  <c r="Y199" i="5"/>
  <c r="X34" i="5"/>
  <c r="Y34" i="5"/>
  <c r="X177" i="5"/>
  <c r="Y177" i="5"/>
  <c r="Y301" i="5"/>
  <c r="X301" i="5"/>
  <c r="X145" i="5"/>
  <c r="Y145" i="5"/>
  <c r="X269" i="5"/>
  <c r="Y269" i="5"/>
  <c r="X221" i="5"/>
  <c r="Y221" i="5"/>
  <c r="Y208" i="5"/>
  <c r="X208" i="5"/>
  <c r="X92" i="5"/>
  <c r="Y92" i="5"/>
  <c r="Y437" i="5"/>
  <c r="X437" i="5"/>
  <c r="X334" i="5"/>
  <c r="Y334" i="5"/>
  <c r="X74" i="5"/>
  <c r="Y74" i="5"/>
  <c r="X200" i="5"/>
  <c r="Y200" i="5"/>
  <c r="X246" i="5"/>
  <c r="Y246" i="5"/>
  <c r="Y348" i="5"/>
  <c r="X348" i="5"/>
  <c r="Y485" i="5"/>
  <c r="X485" i="5"/>
  <c r="X311" i="5"/>
  <c r="Y311" i="5"/>
  <c r="Y339" i="5"/>
  <c r="X339" i="5"/>
  <c r="Y160" i="5"/>
  <c r="X160" i="5"/>
  <c r="Y413" i="5"/>
  <c r="X413" i="5"/>
  <c r="Y379" i="5"/>
  <c r="X379" i="5"/>
  <c r="Y140" i="5"/>
  <c r="X140" i="5"/>
  <c r="X89" i="5"/>
  <c r="Y89" i="5"/>
  <c r="X466" i="5"/>
  <c r="Y466" i="5"/>
  <c r="Y229" i="5"/>
  <c r="X229" i="5"/>
  <c r="X168" i="5"/>
  <c r="Y168" i="5"/>
  <c r="Y416" i="5"/>
  <c r="X416" i="5"/>
  <c r="X499" i="5"/>
  <c r="Y499" i="5"/>
  <c r="X148" i="5"/>
  <c r="Y148" i="5"/>
  <c r="Y231" i="5"/>
  <c r="X231" i="5"/>
  <c r="R7" i="5"/>
  <c r="S7" i="5"/>
  <c r="AV74" i="4"/>
  <c r="U74" i="4"/>
  <c r="AV137" i="4"/>
  <c r="U137" i="4"/>
  <c r="AV126" i="4"/>
  <c r="U126" i="4"/>
  <c r="AV147" i="4"/>
  <c r="U147" i="4"/>
  <c r="AV121" i="4"/>
  <c r="U121" i="4"/>
  <c r="AV8" i="4"/>
  <c r="U8" i="4"/>
  <c r="AV94" i="4"/>
  <c r="U94" i="4"/>
  <c r="AV15" i="4"/>
  <c r="U15" i="4"/>
  <c r="AV59" i="4"/>
  <c r="U59" i="4"/>
  <c r="AV30" i="4"/>
  <c r="U30" i="4"/>
  <c r="AV93" i="4"/>
  <c r="U93" i="4"/>
  <c r="AV44" i="4"/>
  <c r="U44" i="4"/>
  <c r="AV145" i="4"/>
  <c r="U145" i="4"/>
  <c r="AV33" i="4"/>
  <c r="U33" i="4"/>
  <c r="AV31" i="4"/>
  <c r="U31" i="4"/>
  <c r="AV141" i="4"/>
  <c r="U141" i="4"/>
  <c r="AV67" i="4"/>
  <c r="U67" i="4"/>
  <c r="AV61" i="4"/>
  <c r="U61" i="4"/>
  <c r="AF11" i="5"/>
  <c r="AF9" i="5"/>
  <c r="AF94" i="5"/>
  <c r="AF395" i="5"/>
  <c r="AF391" i="5"/>
  <c r="AF497" i="5"/>
  <c r="AF523" i="5"/>
  <c r="AF342" i="5"/>
  <c r="AF499" i="5"/>
  <c r="AF56" i="5"/>
  <c r="AF258" i="5"/>
  <c r="AF524" i="5"/>
  <c r="AF414" i="5"/>
  <c r="AF33" i="5"/>
  <c r="AF245" i="5"/>
  <c r="AF277" i="5"/>
  <c r="AF517" i="5"/>
  <c r="AF452" i="5"/>
  <c r="AF496" i="5"/>
  <c r="AF136" i="5"/>
  <c r="AF513" i="5"/>
  <c r="AF461" i="5"/>
  <c r="AF232" i="5"/>
  <c r="AF250" i="5"/>
  <c r="AF511" i="5"/>
  <c r="AF321" i="5"/>
  <c r="AF167" i="5"/>
  <c r="AF29" i="5"/>
  <c r="AF77" i="5"/>
  <c r="AF440" i="5"/>
  <c r="AF164" i="5"/>
  <c r="AF371" i="5"/>
  <c r="AF281" i="5"/>
  <c r="AF292" i="5"/>
  <c r="AF330" i="5"/>
  <c r="AF43" i="5"/>
  <c r="AF364" i="5"/>
  <c r="AF148" i="5"/>
  <c r="AF454" i="5"/>
  <c r="AF460" i="5"/>
  <c r="AF495" i="5"/>
  <c r="AF98" i="5"/>
  <c r="AF539" i="5"/>
  <c r="AF445" i="5"/>
  <c r="AF55" i="5"/>
  <c r="AF360" i="5"/>
  <c r="AF412" i="5"/>
  <c r="AF427" i="5"/>
  <c r="AF305" i="5"/>
  <c r="AF146" i="5"/>
  <c r="AF288" i="5"/>
  <c r="AF131" i="5"/>
  <c r="AF112" i="5"/>
  <c r="AF189" i="5"/>
  <c r="AF551" i="5"/>
  <c r="AF139" i="5"/>
  <c r="AF104" i="5"/>
  <c r="AF177" i="5"/>
  <c r="AF210" i="5"/>
  <c r="AF500" i="5"/>
  <c r="AF243" i="5"/>
  <c r="AF205" i="5"/>
  <c r="AF278" i="5"/>
  <c r="AF172" i="5"/>
  <c r="AF393" i="5"/>
  <c r="AF366" i="5"/>
  <c r="AF347" i="5"/>
  <c r="AF127" i="5"/>
  <c r="AF89" i="5"/>
  <c r="AF153" i="5"/>
  <c r="AF208" i="5"/>
  <c r="AF256" i="5"/>
  <c r="AF255" i="5"/>
  <c r="AF234" i="5"/>
  <c r="AF116" i="5"/>
  <c r="AF532" i="5"/>
  <c r="AF415" i="5"/>
  <c r="AP415" i="5" s="1"/>
  <c r="AF100" i="5"/>
  <c r="AF537" i="5"/>
  <c r="AF544" i="5"/>
  <c r="AF310" i="5"/>
  <c r="AF430" i="5"/>
  <c r="AF142" i="5"/>
  <c r="AF357" i="5"/>
  <c r="AF138" i="5"/>
  <c r="AF548" i="5"/>
  <c r="AF318" i="5"/>
  <c r="AF85" i="5"/>
  <c r="AF542" i="5"/>
  <c r="AF370" i="5"/>
  <c r="AF308" i="5"/>
  <c r="AF465" i="5"/>
  <c r="AF467" i="5"/>
  <c r="AF451" i="5"/>
  <c r="AF408" i="5"/>
  <c r="AF163" i="5"/>
  <c r="AF122" i="5"/>
  <c r="AF203" i="5"/>
  <c r="AF76" i="5"/>
  <c r="AF118" i="5"/>
  <c r="AF443" i="5"/>
  <c r="AF257" i="5"/>
  <c r="AF268" i="5"/>
  <c r="AF30" i="5"/>
  <c r="AF401" i="5"/>
  <c r="AF295" i="5"/>
  <c r="AF252" i="5"/>
  <c r="AF550" i="5"/>
  <c r="AF506" i="5"/>
  <c r="AF486" i="5"/>
  <c r="AF394" i="5"/>
  <c r="AF425" i="5"/>
  <c r="AF19" i="5"/>
  <c r="AF212" i="5"/>
  <c r="AF135" i="5"/>
  <c r="AF488" i="5"/>
  <c r="AF510" i="5"/>
  <c r="AF231" i="5"/>
  <c r="AF490" i="5"/>
  <c r="AF93" i="5"/>
  <c r="AF435" i="5"/>
  <c r="AF267" i="5"/>
  <c r="AF346" i="5"/>
  <c r="AF265" i="5"/>
  <c r="AF241" i="5"/>
  <c r="AF140" i="5"/>
  <c r="AF507" i="5"/>
  <c r="AF62" i="5"/>
  <c r="AF319" i="5"/>
  <c r="AF128" i="5"/>
  <c r="AF291" i="5"/>
  <c r="AF32" i="5"/>
  <c r="AF555" i="5"/>
  <c r="AF389" i="5"/>
  <c r="AF156" i="5"/>
  <c r="AF133" i="5"/>
  <c r="AF424" i="5"/>
  <c r="AF477" i="5"/>
  <c r="AF260" i="5"/>
  <c r="AF194" i="5"/>
  <c r="AF325" i="5"/>
  <c r="AF242" i="5"/>
  <c r="AF399" i="5"/>
  <c r="AF527" i="5"/>
  <c r="AF63" i="5"/>
  <c r="AF480" i="5"/>
  <c r="AF505" i="5"/>
  <c r="AF458" i="5"/>
  <c r="AF478" i="5"/>
  <c r="AF36" i="5"/>
  <c r="AF201" i="5"/>
  <c r="AF181" i="5"/>
  <c r="AF361" i="5"/>
  <c r="AF372" i="5"/>
  <c r="AF52" i="5"/>
  <c r="AF459" i="5"/>
  <c r="AF132" i="5"/>
  <c r="AF190" i="5"/>
  <c r="AF45" i="5"/>
  <c r="AF247" i="5"/>
  <c r="AF279" i="5"/>
  <c r="AF46" i="5"/>
  <c r="AF134" i="5"/>
  <c r="AF368" i="5"/>
  <c r="AF123" i="5"/>
  <c r="AF73" i="5"/>
  <c r="AF403" i="5"/>
  <c r="AF538" i="5"/>
  <c r="AF48" i="5"/>
  <c r="AF166" i="5"/>
  <c r="AF26" i="5"/>
  <c r="AF8" i="5"/>
  <c r="AF540" i="5"/>
  <c r="AF374" i="5"/>
  <c r="AF326" i="5"/>
  <c r="AF99" i="5"/>
  <c r="AF526" i="5"/>
  <c r="AF207" i="5"/>
  <c r="AF290" i="5"/>
  <c r="AF546" i="5"/>
  <c r="AF334" i="5"/>
  <c r="AF547" i="5"/>
  <c r="AF441" i="5"/>
  <c r="AF58" i="5"/>
  <c r="AF110" i="5"/>
  <c r="AF187" i="5"/>
  <c r="AF312" i="5"/>
  <c r="AF313" i="5"/>
  <c r="AF314" i="5"/>
  <c r="AF417" i="5"/>
  <c r="AF66" i="5"/>
  <c r="AF554" i="5"/>
  <c r="AF385" i="5"/>
  <c r="AF447" i="5"/>
  <c r="AF516" i="5"/>
  <c r="AF240" i="5"/>
  <c r="AF323" i="5"/>
  <c r="AF283" i="5"/>
  <c r="AF87" i="5"/>
  <c r="AF178" i="5"/>
  <c r="AF558" i="5"/>
  <c r="AF453" i="5"/>
  <c r="AF31" i="5"/>
  <c r="AF333" i="5"/>
  <c r="AF216" i="5"/>
  <c r="AF404" i="5"/>
  <c r="AF350" i="5"/>
  <c r="AF282" i="5"/>
  <c r="AF429" i="5"/>
  <c r="AF175" i="5"/>
  <c r="AF154" i="5"/>
  <c r="AF533" i="5"/>
  <c r="AF434" i="5"/>
  <c r="AF126" i="5"/>
  <c r="AF125" i="5"/>
  <c r="AF525" i="5"/>
  <c r="AF504" i="5"/>
  <c r="AF348" i="5"/>
  <c r="AF23" i="5"/>
  <c r="AF387" i="5"/>
  <c r="AF161" i="5"/>
  <c r="AF42" i="5"/>
  <c r="AF469" i="5"/>
  <c r="AF124" i="5"/>
  <c r="AF419" i="5"/>
  <c r="AF158" i="5"/>
  <c r="AF339" i="5"/>
  <c r="AF185" i="5"/>
  <c r="AF222" i="5"/>
  <c r="AF428" i="5"/>
  <c r="AF392" i="5"/>
  <c r="AF448" i="5"/>
  <c r="AF474" i="5"/>
  <c r="AF439" i="5"/>
  <c r="AF108" i="5"/>
  <c r="AF302" i="5"/>
  <c r="AF20" i="5"/>
  <c r="AF151" i="5"/>
  <c r="AF522" i="5"/>
  <c r="AF472" i="5"/>
  <c r="AF549" i="5"/>
  <c r="AF70" i="5"/>
  <c r="AF237" i="5"/>
  <c r="AF317" i="5"/>
  <c r="AF160" i="5"/>
  <c r="AF214" i="5"/>
  <c r="AF444" i="5"/>
  <c r="AF179" i="5"/>
  <c r="AF503" i="5"/>
  <c r="AF236" i="5"/>
  <c r="AF307" i="5"/>
  <c r="AF437" i="5"/>
  <c r="AF479" i="5"/>
  <c r="AF191" i="5"/>
  <c r="AF41" i="5"/>
  <c r="AF229" i="5"/>
  <c r="AF320" i="5"/>
  <c r="AF143" i="5"/>
  <c r="AF249" i="5"/>
  <c r="AF359" i="5"/>
  <c r="AF388" i="5"/>
  <c r="AF211" i="5"/>
  <c r="AF107" i="5"/>
  <c r="AF315" i="5"/>
  <c r="AF462" i="5"/>
  <c r="AF384" i="5"/>
  <c r="AF455" i="5"/>
  <c r="AF200" i="5"/>
  <c r="AF246" i="5"/>
  <c r="AF114" i="5"/>
  <c r="AF433" i="5"/>
  <c r="AF489" i="5"/>
  <c r="AF520" i="5"/>
  <c r="AF91" i="5"/>
  <c r="AF529" i="5"/>
  <c r="AF299" i="5"/>
  <c r="AF117" i="5"/>
  <c r="AF294" i="5"/>
  <c r="AF109" i="5"/>
  <c r="AF543" i="5"/>
  <c r="AF426" i="5"/>
  <c r="AF121" i="5"/>
  <c r="AF235" i="5"/>
  <c r="AF206" i="5"/>
  <c r="AF416" i="5"/>
  <c r="AF369" i="5"/>
  <c r="AF176" i="5"/>
  <c r="AF335" i="5"/>
  <c r="AF223" i="5"/>
  <c r="AF204" i="5"/>
  <c r="AF141" i="5"/>
  <c r="AF218" i="5"/>
  <c r="AF51" i="5"/>
  <c r="AF367" i="5"/>
  <c r="AF173" i="5"/>
  <c r="AF336" i="5"/>
  <c r="AF88" i="5"/>
  <c r="AF103" i="5"/>
  <c r="AF483" i="5"/>
  <c r="AF39" i="5"/>
  <c r="AF180" i="5"/>
  <c r="AF423" i="5"/>
  <c r="AF261" i="5"/>
  <c r="AF402" i="5"/>
  <c r="AF209" i="5"/>
  <c r="AF457" i="5"/>
  <c r="AF251" i="5"/>
  <c r="AF274" i="5"/>
  <c r="AF239" i="5"/>
  <c r="AP239" i="5" s="1"/>
  <c r="AF409" i="5"/>
  <c r="AF199" i="5"/>
  <c r="AF196" i="5"/>
  <c r="AF13" i="5"/>
  <c r="AF220" i="5"/>
  <c r="AF411" i="5"/>
  <c r="AF309" i="5"/>
  <c r="AF28" i="5"/>
  <c r="AF470" i="5"/>
  <c r="AF188" i="5"/>
  <c r="AF170" i="5"/>
  <c r="AF553" i="5"/>
  <c r="AF338" i="5"/>
  <c r="AF446" i="5"/>
  <c r="AF145" i="5"/>
  <c r="AF390" i="5"/>
  <c r="AF502" i="5"/>
  <c r="AF501" i="5"/>
  <c r="AF244" i="5"/>
  <c r="AF60" i="5"/>
  <c r="AF287" i="5"/>
  <c r="AF79" i="5"/>
  <c r="AF150" i="5"/>
  <c r="AF54" i="5"/>
  <c r="AF464" i="5"/>
  <c r="AF159" i="5"/>
  <c r="AF80" i="5"/>
  <c r="AF284" i="5"/>
  <c r="AF442" i="5"/>
  <c r="AF400" i="5"/>
  <c r="AF183" i="5"/>
  <c r="AF491" i="5"/>
  <c r="AF47" i="5"/>
  <c r="AF397" i="5"/>
  <c r="AF171" i="5"/>
  <c r="AF262" i="5"/>
  <c r="AF410" i="5"/>
  <c r="AF61" i="5"/>
  <c r="AF345" i="5"/>
  <c r="AF82" i="5"/>
  <c r="AF67" i="5"/>
  <c r="AF221" i="5"/>
  <c r="AF168" i="5"/>
  <c r="AF269" i="5"/>
  <c r="AF485" i="5"/>
  <c r="AF119" i="5"/>
  <c r="AF463" i="5"/>
  <c r="AF53" i="5"/>
  <c r="AF137" i="5"/>
  <c r="AF494" i="5"/>
  <c r="AF536" i="5"/>
  <c r="AF50" i="5"/>
  <c r="AF322" i="5"/>
  <c r="AF72" i="5"/>
  <c r="AF431" i="5"/>
  <c r="AF92" i="5"/>
  <c r="AF406" i="5"/>
  <c r="AF195" i="5"/>
  <c r="AF213" i="5"/>
  <c r="AF353" i="5"/>
  <c r="AF259" i="5"/>
  <c r="AF86" i="5"/>
  <c r="AF197" i="5"/>
  <c r="AF271" i="5"/>
  <c r="AF528" i="5"/>
  <c r="AF280" i="5"/>
  <c r="AF436" i="5"/>
  <c r="AF186" i="5"/>
  <c r="AF130" i="5"/>
  <c r="AF481" i="5"/>
  <c r="AF296" i="5"/>
  <c r="AF398" i="5"/>
  <c r="AF456" i="5"/>
  <c r="AF101" i="5"/>
  <c r="AF381" i="5"/>
  <c r="AF450" i="5"/>
  <c r="AF383" i="5"/>
  <c r="AF65" i="5"/>
  <c r="AF303" i="5"/>
  <c r="AF147" i="5"/>
  <c r="AF157" i="5"/>
  <c r="AF351" i="5"/>
  <c r="AF421" i="5"/>
  <c r="AF75" i="5"/>
  <c r="AF306" i="5"/>
  <c r="AF68" i="5"/>
  <c r="AF169" i="5"/>
  <c r="AF521" i="5"/>
  <c r="AF219" i="5"/>
  <c r="AF377" i="5"/>
  <c r="AF515" i="5"/>
  <c r="AF354" i="5"/>
  <c r="AF418" i="5"/>
  <c r="AF396" i="5"/>
  <c r="AF129" i="5"/>
  <c r="AF152" i="5"/>
  <c r="AF7" i="5"/>
  <c r="AF59" i="5"/>
  <c r="AF438" i="5"/>
  <c r="AF174" i="5"/>
  <c r="AF289" i="5"/>
  <c r="AF328" i="5"/>
  <c r="AF182" i="5"/>
  <c r="AF484" i="5"/>
  <c r="AF466" i="5"/>
  <c r="AF40" i="5"/>
  <c r="AF362" i="5"/>
  <c r="AF230" i="5"/>
  <c r="AF329" i="5"/>
  <c r="AF519" i="5"/>
  <c r="AF78" i="5"/>
  <c r="AF363" i="5"/>
  <c r="AF44" i="5"/>
  <c r="AF90" i="5"/>
  <c r="AF253" i="5"/>
  <c r="AF380" i="5"/>
  <c r="AF468" i="5"/>
  <c r="AF365" i="5"/>
  <c r="AF341" i="5"/>
  <c r="AF297" i="5"/>
  <c r="AF373" i="5"/>
  <c r="AF22" i="5"/>
  <c r="AF304" i="5"/>
  <c r="AF165" i="5"/>
  <c r="AF449" i="5"/>
  <c r="AF331" i="5"/>
  <c r="AF106" i="5"/>
  <c r="AF69" i="5"/>
  <c r="AF96" i="5"/>
  <c r="AF115" i="5"/>
  <c r="AF263" i="5"/>
  <c r="AF413" i="5"/>
  <c r="AF508" i="5"/>
  <c r="AF275" i="5"/>
  <c r="AF24" i="5"/>
  <c r="AF552" i="5"/>
  <c r="AF530" i="5"/>
  <c r="AF316" i="5"/>
  <c r="AF254" i="5"/>
  <c r="AF270" i="5"/>
  <c r="AF81" i="5"/>
  <c r="AF83" i="5"/>
  <c r="AF405" i="5"/>
  <c r="AF215" i="5"/>
  <c r="AF272" i="5"/>
  <c r="AF337" i="5"/>
  <c r="AF162" i="5"/>
  <c r="AF298" i="5"/>
  <c r="AF25" i="5"/>
  <c r="AF102" i="5"/>
  <c r="AF266" i="5"/>
  <c r="AF224" i="5"/>
  <c r="AF386" i="5"/>
  <c r="AF476" i="5"/>
  <c r="AF286" i="5"/>
  <c r="AF541" i="5"/>
  <c r="AF293" i="5"/>
  <c r="AF120" i="5"/>
  <c r="AF560" i="5"/>
  <c r="AF74" i="5"/>
  <c r="AF352" i="5"/>
  <c r="AP352" i="5" s="1"/>
  <c r="AF10" i="5"/>
  <c r="AF38" i="5"/>
  <c r="AF557" i="5"/>
  <c r="AF407" i="5"/>
  <c r="AF349" i="5"/>
  <c r="AF311" i="5"/>
  <c r="AF192" i="5"/>
  <c r="AF514" i="5"/>
  <c r="AF226" i="5"/>
  <c r="AF498" i="5"/>
  <c r="AF238" i="5"/>
  <c r="AF84" i="5"/>
  <c r="AF471" i="5"/>
  <c r="AF57" i="5"/>
  <c r="AF518" i="5"/>
  <c r="AF531" i="5"/>
  <c r="AF422" i="5"/>
  <c r="AF356" i="5"/>
  <c r="AF35" i="5"/>
  <c r="AF378" i="5"/>
  <c r="AF276" i="5"/>
  <c r="AF64" i="5"/>
  <c r="AF355" i="5"/>
  <c r="AF358" i="5"/>
  <c r="AF332" i="5"/>
  <c r="AF193" i="5"/>
  <c r="AF509" i="5"/>
  <c r="AF225" i="5"/>
  <c r="AF327" i="5"/>
  <c r="AF198" i="5"/>
  <c r="AF482" i="5"/>
  <c r="AF264" i="5"/>
  <c r="AF37" i="5"/>
  <c r="AF473" i="5"/>
  <c r="AF144" i="5"/>
  <c r="AF228" i="5"/>
  <c r="AF97" i="5"/>
  <c r="AF27" i="5"/>
  <c r="AF379" i="5"/>
  <c r="AF49" i="5"/>
  <c r="AF556" i="5"/>
  <c r="AF375" i="5"/>
  <c r="AF248" i="5"/>
  <c r="AF71" i="5"/>
  <c r="AF534" i="5"/>
  <c r="AF492" i="5"/>
  <c r="AF559" i="5"/>
  <c r="AP559" i="5" s="1"/>
  <c r="AF545" i="5"/>
  <c r="AF344" i="5"/>
  <c r="AF111" i="5"/>
  <c r="AF340" i="5"/>
  <c r="AF113" i="5"/>
  <c r="AF512" i="5"/>
  <c r="AF155" i="5"/>
  <c r="AF285" i="5"/>
  <c r="AF149" i="5"/>
  <c r="AF12" i="5"/>
  <c r="AF227" i="5"/>
  <c r="AF493" i="5"/>
  <c r="AF432" i="5"/>
  <c r="AF105" i="5"/>
  <c r="AF34" i="5"/>
  <c r="AF21" i="5"/>
  <c r="AF233" i="5"/>
  <c r="AF273" i="5"/>
  <c r="AF535" i="5"/>
  <c r="AF324" i="5"/>
  <c r="AF382" i="5"/>
  <c r="AF343" i="5"/>
  <c r="AF475" i="5"/>
  <c r="AF202" i="5"/>
  <c r="AF300" i="5"/>
  <c r="AF217" i="5"/>
  <c r="AF184" i="5"/>
  <c r="AF420" i="5"/>
  <c r="AF376" i="5"/>
  <c r="AF301" i="5"/>
  <c r="AF95" i="5"/>
  <c r="AF487" i="5"/>
  <c r="Y428" i="5"/>
  <c r="X428" i="5"/>
  <c r="Y336" i="5"/>
  <c r="X336" i="5"/>
  <c r="X449" i="5"/>
  <c r="Y449" i="5"/>
  <c r="X424" i="5"/>
  <c r="Y424" i="5"/>
  <c r="Y456" i="5"/>
  <c r="X456" i="5"/>
  <c r="X340" i="5"/>
  <c r="Y340" i="5"/>
  <c r="X261" i="5"/>
  <c r="Y261" i="5"/>
  <c r="X439" i="5"/>
  <c r="Y439" i="5"/>
  <c r="X460" i="5"/>
  <c r="Y460" i="5"/>
  <c r="X514" i="5"/>
  <c r="Y514" i="5"/>
  <c r="Y213" i="5"/>
  <c r="X213" i="5"/>
  <c r="X444" i="5"/>
  <c r="Y444" i="5"/>
  <c r="Y181" i="5"/>
  <c r="X181" i="5"/>
  <c r="Y345" i="5"/>
  <c r="X345" i="5"/>
  <c r="Y53" i="5"/>
  <c r="X53" i="5"/>
  <c r="X124" i="5"/>
  <c r="Y124" i="5"/>
  <c r="X288" i="5"/>
  <c r="Y288" i="5"/>
  <c r="Y446" i="5"/>
  <c r="X446" i="5"/>
  <c r="X531" i="5"/>
  <c r="Y531" i="5"/>
  <c r="Y458" i="5"/>
  <c r="X458" i="5"/>
  <c r="X406" i="5"/>
  <c r="Y406" i="5"/>
  <c r="Y402" i="5"/>
  <c r="X402" i="5"/>
  <c r="X49" i="5"/>
  <c r="Y49" i="5"/>
  <c r="Y186" i="5"/>
  <c r="X186" i="5"/>
  <c r="X268" i="5"/>
  <c r="Y268" i="5"/>
  <c r="Y450" i="5"/>
  <c r="X450" i="5"/>
  <c r="X526" i="5"/>
  <c r="Y526" i="5"/>
  <c r="X32" i="5"/>
  <c r="Y32" i="5"/>
  <c r="X360" i="5"/>
  <c r="Y360" i="5"/>
  <c r="X392" i="5"/>
  <c r="Y392" i="5"/>
  <c r="Y487" i="5"/>
  <c r="X487" i="5"/>
  <c r="X279" i="5"/>
  <c r="Y279" i="5"/>
  <c r="X532" i="5"/>
  <c r="Y532" i="5"/>
  <c r="X536" i="5"/>
  <c r="Y536" i="5"/>
  <c r="Y447" i="5"/>
  <c r="X447" i="5"/>
  <c r="Y131" i="5"/>
  <c r="X131" i="5"/>
  <c r="X94" i="5"/>
  <c r="Y94" i="5"/>
  <c r="X169" i="5"/>
  <c r="Y169" i="5"/>
  <c r="Y519" i="5"/>
  <c r="X519" i="5"/>
  <c r="Y386" i="5"/>
  <c r="X386" i="5"/>
  <c r="X329" i="5"/>
  <c r="Y329" i="5"/>
  <c r="X93" i="5"/>
  <c r="Y93" i="5"/>
  <c r="Y122" i="5"/>
  <c r="X122" i="5"/>
  <c r="X369" i="5"/>
  <c r="Y369" i="5"/>
  <c r="B182" i="2"/>
  <c r="B171" i="2"/>
  <c r="B179" i="2" s="1"/>
  <c r="B186" i="2" s="1"/>
  <c r="AV85" i="4"/>
  <c r="U85" i="4"/>
  <c r="AV65" i="4"/>
  <c r="U65" i="4"/>
  <c r="AV146" i="4"/>
  <c r="U146" i="4"/>
  <c r="AV99" i="4"/>
  <c r="U99" i="4"/>
  <c r="AV64" i="4"/>
  <c r="U64" i="4"/>
  <c r="AV29" i="4"/>
  <c r="U29" i="4"/>
  <c r="AV98" i="4"/>
  <c r="U98" i="4"/>
  <c r="AV122" i="4"/>
  <c r="U122" i="4"/>
  <c r="AV129" i="4"/>
  <c r="U129" i="4"/>
  <c r="AV89" i="4"/>
  <c r="U89" i="4"/>
  <c r="AV136" i="4"/>
  <c r="U136" i="4"/>
  <c r="AV91" i="4"/>
  <c r="U91" i="4"/>
  <c r="AV109" i="4"/>
  <c r="U109" i="4"/>
  <c r="AV87" i="4"/>
  <c r="U87" i="4"/>
  <c r="AV113" i="4"/>
  <c r="U113" i="4"/>
  <c r="AV53" i="4"/>
  <c r="U53" i="4"/>
  <c r="AV34" i="4"/>
  <c r="U34" i="4"/>
  <c r="AV76" i="4"/>
  <c r="U76" i="4"/>
  <c r="AV41" i="4"/>
  <c r="U41" i="4"/>
  <c r="AV48" i="4"/>
  <c r="U48" i="4"/>
  <c r="AV37" i="4"/>
  <c r="U37" i="4"/>
  <c r="AV96" i="4"/>
  <c r="U96" i="4"/>
  <c r="AV68" i="4"/>
  <c r="U68" i="4"/>
  <c r="AV50" i="4"/>
  <c r="U50" i="4"/>
  <c r="AV56" i="4"/>
  <c r="U56" i="4"/>
  <c r="AV46" i="4"/>
  <c r="U46" i="4"/>
  <c r="AV102" i="4"/>
  <c r="U102" i="4"/>
  <c r="AV62" i="4"/>
  <c r="U62" i="4"/>
  <c r="U108" i="4"/>
  <c r="AV108" i="4"/>
  <c r="AV95" i="4"/>
  <c r="U95" i="4"/>
  <c r="AV39" i="4"/>
  <c r="U39" i="4"/>
  <c r="AV25" i="4"/>
  <c r="U25" i="4"/>
  <c r="U9" i="4"/>
  <c r="AV9" i="4"/>
  <c r="B39" i="5"/>
  <c r="B38" i="5"/>
  <c r="X26" i="5"/>
  <c r="Y26" i="5"/>
  <c r="X263" i="5"/>
  <c r="Y263" i="5"/>
  <c r="X321" i="5"/>
  <c r="Y321" i="5"/>
  <c r="Y102" i="5"/>
  <c r="X102" i="5"/>
  <c r="Y429" i="5"/>
  <c r="X429" i="5"/>
  <c r="X159" i="5"/>
  <c r="Y159" i="5"/>
  <c r="X362" i="5"/>
  <c r="Y362" i="5"/>
  <c r="X427" i="5"/>
  <c r="Y427" i="5"/>
  <c r="X401" i="5"/>
  <c r="Y401" i="5"/>
  <c r="X240" i="5"/>
  <c r="Y240" i="5"/>
  <c r="X153" i="5"/>
  <c r="Y153" i="5"/>
  <c r="Y478" i="5"/>
  <c r="X478" i="5"/>
  <c r="X244" i="5"/>
  <c r="Y244" i="5"/>
  <c r="Y313" i="5"/>
  <c r="X313" i="5"/>
  <c r="Y78" i="5"/>
  <c r="X78" i="5"/>
  <c r="X470" i="5"/>
  <c r="Y470" i="5"/>
  <c r="AV63" i="4"/>
  <c r="U63" i="4"/>
  <c r="AV119" i="4"/>
  <c r="U119" i="4"/>
  <c r="AV100" i="4"/>
  <c r="U100" i="4"/>
  <c r="AV43" i="4"/>
  <c r="U43" i="4"/>
  <c r="AV139" i="4"/>
  <c r="U139" i="4"/>
  <c r="AV130" i="4"/>
  <c r="U130" i="4"/>
  <c r="AV82" i="4"/>
  <c r="U82" i="4"/>
  <c r="U16" i="4"/>
  <c r="AV16" i="4"/>
  <c r="AV78" i="4"/>
  <c r="U78" i="4"/>
  <c r="AV105" i="4"/>
  <c r="U105" i="4"/>
  <c r="AV104" i="4"/>
  <c r="U104" i="4"/>
  <c r="AV55" i="4"/>
  <c r="U55" i="4"/>
  <c r="AV47" i="4"/>
  <c r="U47" i="4"/>
  <c r="AV135" i="4"/>
  <c r="U135" i="4"/>
  <c r="AV27" i="4"/>
  <c r="U27" i="4"/>
  <c r="AV20" i="4"/>
  <c r="U20" i="4"/>
  <c r="AV69" i="4"/>
  <c r="U69" i="4"/>
  <c r="AV140" i="4"/>
  <c r="U140" i="4"/>
  <c r="AV114" i="4"/>
  <c r="U114" i="4"/>
  <c r="AV88" i="4"/>
  <c r="U88" i="4"/>
  <c r="AV97" i="4"/>
  <c r="U97" i="4"/>
  <c r="AV106" i="4"/>
  <c r="U106" i="4"/>
  <c r="AV118" i="4"/>
  <c r="U118" i="4"/>
  <c r="AV128" i="4"/>
  <c r="U128" i="4"/>
  <c r="AV35" i="4"/>
  <c r="U35" i="4"/>
  <c r="AV144" i="4"/>
  <c r="U144" i="4"/>
  <c r="U24" i="4"/>
  <c r="AV24" i="4"/>
  <c r="AV84" i="4"/>
  <c r="U84" i="4"/>
  <c r="AV10" i="4"/>
  <c r="U10" i="4"/>
  <c r="AV148" i="4"/>
  <c r="U148" i="4"/>
  <c r="AV51" i="4"/>
  <c r="U51" i="4"/>
  <c r="AV70" i="4"/>
  <c r="U70" i="4"/>
  <c r="AV138" i="4"/>
  <c r="U138" i="4"/>
  <c r="AV57" i="4"/>
  <c r="U57" i="4"/>
  <c r="U54" i="4"/>
  <c r="AV54" i="4"/>
  <c r="AV150" i="4"/>
  <c r="U150" i="4"/>
  <c r="AV80" i="4"/>
  <c r="U80" i="4"/>
  <c r="U142" i="4"/>
  <c r="AV142" i="4"/>
  <c r="AC7" i="5"/>
  <c r="Y135" i="5"/>
  <c r="X135" i="5"/>
  <c r="X175" i="5"/>
  <c r="Y175" i="5"/>
  <c r="Y156" i="5"/>
  <c r="X156" i="5"/>
  <c r="X112" i="5"/>
  <c r="Y112" i="5"/>
  <c r="Y527" i="5"/>
  <c r="X527" i="5"/>
  <c r="Y411" i="5"/>
  <c r="X411" i="5"/>
  <c r="X116" i="5"/>
  <c r="Y116" i="5"/>
  <c r="X544" i="5"/>
  <c r="Y544" i="5"/>
  <c r="X398" i="5"/>
  <c r="Y398" i="5"/>
  <c r="X483" i="5"/>
  <c r="Y483" i="5"/>
  <c r="Y66" i="5"/>
  <c r="X66" i="5"/>
  <c r="Y397" i="5"/>
  <c r="X397" i="5"/>
  <c r="X81" i="5"/>
  <c r="Y81" i="5"/>
  <c r="Y27" i="5"/>
  <c r="X27" i="5"/>
  <c r="X190" i="5"/>
  <c r="Y190" i="5"/>
  <c r="X520" i="5"/>
  <c r="Y520" i="5"/>
  <c r="X55" i="5"/>
  <c r="Y55" i="5"/>
  <c r="Y210" i="5"/>
  <c r="X210" i="5"/>
  <c r="Y417" i="5"/>
  <c r="X417" i="5"/>
  <c r="X384" i="5"/>
  <c r="Y384" i="5"/>
  <c r="X337" i="5"/>
  <c r="Y337" i="5"/>
  <c r="X195" i="5"/>
  <c r="Y195" i="5"/>
  <c r="X219" i="5"/>
  <c r="Y219" i="5"/>
  <c r="Y118" i="5"/>
  <c r="X118" i="5"/>
  <c r="X378" i="5"/>
  <c r="Y378" i="5"/>
  <c r="X546" i="5"/>
  <c r="Y546" i="5"/>
  <c r="X275" i="5"/>
  <c r="Y275" i="5"/>
  <c r="X280" i="5"/>
  <c r="Y280" i="5"/>
  <c r="X372" i="5"/>
  <c r="Y372" i="5"/>
  <c r="X143" i="5"/>
  <c r="Y143" i="5"/>
  <c r="X493" i="5"/>
  <c r="Y493" i="5"/>
  <c r="X516" i="5"/>
  <c r="Y516" i="5"/>
  <c r="X155" i="5"/>
  <c r="Y155" i="5"/>
  <c r="X419" i="5"/>
  <c r="Y419" i="5"/>
  <c r="Y498" i="5"/>
  <c r="X498" i="5"/>
  <c r="Y283" i="5"/>
  <c r="X283" i="5"/>
  <c r="Y341" i="5"/>
  <c r="X341" i="5"/>
  <c r="Y205" i="5"/>
  <c r="X205" i="5"/>
  <c r="X319" i="5"/>
  <c r="Y319" i="5"/>
  <c r="X274" i="5"/>
  <c r="Y274" i="5"/>
  <c r="X259" i="5"/>
  <c r="Y259" i="5"/>
  <c r="Y184" i="5"/>
  <c r="X184" i="5"/>
  <c r="Y365" i="5"/>
  <c r="X365" i="5"/>
  <c r="X130" i="5"/>
  <c r="Y130" i="5"/>
  <c r="Y353" i="5"/>
  <c r="X353" i="5"/>
  <c r="Y320" i="5"/>
  <c r="X320" i="5"/>
  <c r="X171" i="5"/>
  <c r="Y171" i="5"/>
  <c r="X45" i="5"/>
  <c r="Y45" i="5"/>
  <c r="Y86" i="5"/>
  <c r="X86" i="5"/>
  <c r="Y146" i="5"/>
  <c r="X146" i="5"/>
  <c r="X377" i="5"/>
  <c r="Y377" i="5"/>
  <c r="X286" i="5"/>
  <c r="Y286" i="5"/>
  <c r="X477" i="5"/>
  <c r="Y477" i="5"/>
  <c r="Y557" i="5"/>
  <c r="X557" i="5"/>
  <c r="Y383" i="5"/>
  <c r="X383" i="5"/>
  <c r="X21" i="5"/>
  <c r="Y21" i="5"/>
  <c r="Y73" i="5"/>
  <c r="X73" i="5"/>
  <c r="X39" i="5"/>
  <c r="Y39" i="5"/>
  <c r="X366" i="5"/>
  <c r="Y366" i="5"/>
  <c r="X328" i="5"/>
  <c r="Y328" i="5"/>
  <c r="Y306" i="5"/>
  <c r="X306" i="5"/>
  <c r="X125" i="5"/>
  <c r="Y125" i="5"/>
  <c r="Y71" i="5"/>
  <c r="X71" i="5"/>
  <c r="Y403" i="5"/>
  <c r="X403" i="5"/>
  <c r="X88" i="5"/>
  <c r="Y88" i="5"/>
  <c r="X304" i="5"/>
  <c r="Y304" i="5"/>
  <c r="X488" i="5"/>
  <c r="Y488" i="5"/>
  <c r="Y346" i="5"/>
  <c r="X346" i="5"/>
  <c r="X265" i="5"/>
  <c r="Y265" i="5"/>
  <c r="Y309" i="5"/>
  <c r="X309" i="5"/>
  <c r="Y85" i="5"/>
  <c r="X85" i="5"/>
  <c r="X459" i="5"/>
  <c r="Y459" i="5"/>
  <c r="Y442" i="5"/>
  <c r="X442" i="5"/>
  <c r="Y307" i="5"/>
  <c r="X307" i="5"/>
  <c r="X64" i="5"/>
  <c r="Y64" i="5"/>
  <c r="Y247" i="5"/>
  <c r="X247" i="5"/>
  <c r="X167" i="5"/>
  <c r="Y167" i="5"/>
  <c r="X465" i="5"/>
  <c r="Y465" i="5"/>
  <c r="Y435" i="5"/>
  <c r="X435" i="5"/>
  <c r="X420" i="5"/>
  <c r="Y420" i="5"/>
  <c r="Y47" i="5"/>
  <c r="X47" i="5"/>
  <c r="X235" i="5"/>
  <c r="Y235" i="5"/>
  <c r="X245" i="5"/>
  <c r="Y245" i="5"/>
  <c r="Y31" i="5"/>
  <c r="X31" i="5"/>
  <c r="X216" i="5"/>
  <c r="Y216" i="5"/>
  <c r="X204" i="5"/>
  <c r="Y204" i="5"/>
  <c r="X371" i="5"/>
  <c r="Y371" i="5"/>
  <c r="X117" i="5"/>
  <c r="Y117" i="5"/>
  <c r="Y486" i="5"/>
  <c r="X486" i="5"/>
  <c r="X358" i="5"/>
  <c r="Y358" i="5"/>
  <c r="X434" i="5"/>
  <c r="Y434" i="5"/>
  <c r="Y256" i="5"/>
  <c r="X256" i="5"/>
  <c r="Y454" i="5"/>
  <c r="X454" i="5"/>
  <c r="X44" i="5"/>
  <c r="Y44" i="5"/>
  <c r="X158" i="5"/>
  <c r="Y158" i="5"/>
  <c r="X537" i="5"/>
  <c r="Y537" i="5"/>
  <c r="Y453" i="5"/>
  <c r="X453" i="5"/>
  <c r="X423" i="5"/>
  <c r="Y423" i="5"/>
  <c r="X90" i="5"/>
  <c r="Y90" i="5"/>
  <c r="X154" i="5"/>
  <c r="Y154" i="5"/>
  <c r="X182" i="5"/>
  <c r="Y182" i="5"/>
  <c r="X508" i="5"/>
  <c r="Y508" i="5"/>
  <c r="Y87" i="5"/>
  <c r="X87" i="5"/>
  <c r="X375" i="5"/>
  <c r="Y375" i="5"/>
  <c r="Y474" i="5"/>
  <c r="X474" i="5"/>
  <c r="X380" i="5"/>
  <c r="Y380" i="5"/>
  <c r="Y473" i="5"/>
  <c r="X473" i="5"/>
  <c r="X409" i="5"/>
  <c r="Y409" i="5"/>
  <c r="Y327" i="5"/>
  <c r="X327" i="5"/>
  <c r="Y412" i="5"/>
  <c r="X412" i="5"/>
  <c r="Y314" i="5"/>
  <c r="X314" i="5"/>
  <c r="X540" i="5"/>
  <c r="Y540" i="5"/>
  <c r="Y52" i="5"/>
  <c r="X52" i="5"/>
  <c r="X438" i="5"/>
  <c r="Y438" i="5"/>
  <c r="X351" i="5"/>
  <c r="Y351" i="5"/>
  <c r="X278" i="5"/>
  <c r="Y278" i="5"/>
  <c r="Y142" i="5"/>
  <c r="X142" i="5"/>
  <c r="Y133" i="5"/>
  <c r="X133" i="5"/>
  <c r="X443" i="5"/>
  <c r="Y443" i="5"/>
  <c r="X84" i="5"/>
  <c r="Y84" i="5"/>
  <c r="X414" i="5"/>
  <c r="Y414" i="5"/>
  <c r="Y552" i="5"/>
  <c r="X552" i="5"/>
  <c r="Y422" i="5"/>
  <c r="X422" i="5"/>
  <c r="Y42" i="5"/>
  <c r="X42" i="5"/>
  <c r="X144" i="5"/>
  <c r="Y144" i="5"/>
  <c r="Y297" i="5"/>
  <c r="X297" i="5"/>
  <c r="X293" i="5"/>
  <c r="Y293" i="5"/>
  <c r="X207" i="5"/>
  <c r="Y207" i="5"/>
  <c r="Y497" i="5"/>
  <c r="X497" i="5"/>
  <c r="X239" i="5"/>
  <c r="Y239" i="5"/>
  <c r="X305" i="5"/>
  <c r="Y305" i="5"/>
  <c r="Y212" i="5"/>
  <c r="X212" i="5"/>
  <c r="X511" i="5"/>
  <c r="Y511" i="5"/>
  <c r="Y262" i="5"/>
  <c r="X262" i="5"/>
  <c r="X410" i="5"/>
  <c r="Y410" i="5"/>
  <c r="X436" i="5"/>
  <c r="Y436" i="5"/>
  <c r="AP124" i="5" l="1"/>
  <c r="AP31" i="5"/>
  <c r="BI31" i="5" s="1"/>
  <c r="AP103" i="5"/>
  <c r="AP49" i="5"/>
  <c r="AP128" i="5"/>
  <c r="AQ128" i="5" s="1"/>
  <c r="AP343" i="5"/>
  <c r="AQ343" i="5" s="1"/>
  <c r="AP456" i="5"/>
  <c r="AQ456" i="5" s="1"/>
  <c r="AP178" i="5"/>
  <c r="AR178" i="5" s="1"/>
  <c r="AP112" i="5"/>
  <c r="BI112" i="5" s="1"/>
  <c r="AP482" i="5"/>
  <c r="BI482" i="5" s="1"/>
  <c r="AP535" i="5"/>
  <c r="AQ535" i="5" s="1"/>
  <c r="AP140" i="5"/>
  <c r="AQ140" i="5" s="1"/>
  <c r="AP270" i="5"/>
  <c r="AR270" i="5" s="1"/>
  <c r="AP338" i="5"/>
  <c r="AR338" i="5" s="1"/>
  <c r="AP193" i="5"/>
  <c r="AQ193" i="5" s="1"/>
  <c r="AP80" i="5"/>
  <c r="AQ80" i="5" s="1"/>
  <c r="AP418" i="5"/>
  <c r="AR418" i="5" s="1"/>
  <c r="AP250" i="5"/>
  <c r="AR250" i="5" s="1"/>
  <c r="AP399" i="5"/>
  <c r="BI399" i="5" s="1"/>
  <c r="AP368" i="5"/>
  <c r="AQ368" i="5" s="1"/>
  <c r="AP228" i="5"/>
  <c r="AR228" i="5" s="1"/>
  <c r="AP183" i="5"/>
  <c r="BI183" i="5" s="1"/>
  <c r="AP472" i="5"/>
  <c r="BI472" i="5" s="1"/>
  <c r="AP363" i="5"/>
  <c r="AR363" i="5" s="1"/>
  <c r="AP117" i="5"/>
  <c r="AR117" i="5" s="1"/>
  <c r="AP20" i="5"/>
  <c r="AQ20" i="5" s="1"/>
  <c r="AP526" i="5"/>
  <c r="AR526" i="5" s="1"/>
  <c r="AP70" i="5"/>
  <c r="AR70" i="5" s="1"/>
  <c r="AP321" i="5"/>
  <c r="AQ321" i="5" s="1"/>
  <c r="AP407" i="5"/>
  <c r="BI407" i="5" s="1"/>
  <c r="AP306" i="5"/>
  <c r="BI306" i="5" s="1"/>
  <c r="AP235" i="5"/>
  <c r="BI235" i="5" s="1"/>
  <c r="AP375" i="5"/>
  <c r="AQ375" i="5" s="1"/>
  <c r="AP518" i="5"/>
  <c r="BI518" i="5" s="1"/>
  <c r="AP541" i="5"/>
  <c r="BI541" i="5" s="1"/>
  <c r="AP224" i="5"/>
  <c r="AR224" i="5" s="1"/>
  <c r="AP243" i="5"/>
  <c r="AQ243" i="5" s="1"/>
  <c r="AP442" i="5"/>
  <c r="AR442" i="5" s="1"/>
  <c r="AP21" i="5"/>
  <c r="AR21" i="5" s="1"/>
  <c r="AP331" i="5"/>
  <c r="BI331" i="5" s="1"/>
  <c r="AP184" i="5"/>
  <c r="BI184" i="5" s="1"/>
  <c r="AP473" i="5"/>
  <c r="BI473" i="5" s="1"/>
  <c r="AP286" i="5"/>
  <c r="BI286" i="5" s="1"/>
  <c r="AP253" i="5"/>
  <c r="AQ253" i="5" s="1"/>
  <c r="AP431" i="5"/>
  <c r="BI431" i="5" s="1"/>
  <c r="AP171" i="5"/>
  <c r="AQ171" i="5" s="1"/>
  <c r="AP101" i="5"/>
  <c r="BI101" i="5" s="1"/>
  <c r="AP344" i="5"/>
  <c r="AQ344" i="5" s="1"/>
  <c r="AP483" i="5"/>
  <c r="BI483" i="5" s="1"/>
  <c r="AP108" i="5"/>
  <c r="AQ108" i="5" s="1"/>
  <c r="AP449" i="5"/>
  <c r="AQ449" i="5" s="1"/>
  <c r="AP285" i="5"/>
  <c r="AQ285" i="5" s="1"/>
  <c r="AP336" i="5"/>
  <c r="AQ336" i="5" s="1"/>
  <c r="AP229" i="5"/>
  <c r="AR229" i="5" s="1"/>
  <c r="AP43" i="5"/>
  <c r="AR43" i="5" s="1"/>
  <c r="AP52" i="5"/>
  <c r="AR52" i="5" s="1"/>
  <c r="AP367" i="5"/>
  <c r="AQ367" i="5" s="1"/>
  <c r="AP406" i="5"/>
  <c r="BI406" i="5" s="1"/>
  <c r="AP471" i="5"/>
  <c r="AR471" i="5" s="1"/>
  <c r="AP476" i="5"/>
  <c r="AR476" i="5" s="1"/>
  <c r="AP397" i="5"/>
  <c r="AR397" i="5" s="1"/>
  <c r="AP23" i="5"/>
  <c r="BI23" i="5" s="1"/>
  <c r="AP202" i="5"/>
  <c r="AQ202" i="5" s="1"/>
  <c r="AP515" i="5"/>
  <c r="AQ515" i="5" s="1"/>
  <c r="AP521" i="5"/>
  <c r="AR521" i="5" s="1"/>
  <c r="AP132" i="5"/>
  <c r="AR132" i="5" s="1"/>
  <c r="AP358" i="5"/>
  <c r="AQ358" i="5" s="1"/>
  <c r="AP466" i="5"/>
  <c r="AQ466" i="5" s="1"/>
  <c r="AP220" i="5"/>
  <c r="BI220" i="5" s="1"/>
  <c r="AP292" i="5"/>
  <c r="AQ292" i="5" s="1"/>
  <c r="AP414" i="5"/>
  <c r="AR414" i="5" s="1"/>
  <c r="AP105" i="5"/>
  <c r="AQ105" i="5" s="1"/>
  <c r="AP119" i="5"/>
  <c r="BI119" i="5" s="1"/>
  <c r="AP181" i="5"/>
  <c r="AQ181" i="5" s="1"/>
  <c r="AP259" i="5"/>
  <c r="AQ259" i="5" s="1"/>
  <c r="AP64" i="5"/>
  <c r="AQ64" i="5" s="1"/>
  <c r="AP213" i="5"/>
  <c r="AQ213" i="5" s="1"/>
  <c r="AP365" i="5"/>
  <c r="AR365" i="5" s="1"/>
  <c r="AP468" i="5"/>
  <c r="AR468" i="5" s="1"/>
  <c r="AP92" i="5"/>
  <c r="AQ92" i="5" s="1"/>
  <c r="AP160" i="5"/>
  <c r="BI160" i="5" s="1"/>
  <c r="AP216" i="5"/>
  <c r="BI216" i="5" s="1"/>
  <c r="AP241" i="5"/>
  <c r="AR241" i="5" s="1"/>
  <c r="AP138" i="5"/>
  <c r="BI138" i="5" s="1"/>
  <c r="AP391" i="5"/>
  <c r="AR391" i="5" s="1"/>
  <c r="AP111" i="5"/>
  <c r="BI111" i="5" s="1"/>
  <c r="AP96" i="5"/>
  <c r="AQ96" i="5" s="1"/>
  <c r="AP143" i="5"/>
  <c r="AQ143" i="5" s="1"/>
  <c r="AP231" i="5"/>
  <c r="AQ231" i="5" s="1"/>
  <c r="AP330" i="5"/>
  <c r="AQ330" i="5" s="1"/>
  <c r="AP304" i="5"/>
  <c r="BI304" i="5" s="1"/>
  <c r="AP421" i="5"/>
  <c r="AQ421" i="5" s="1"/>
  <c r="AP8" i="5"/>
  <c r="AQ8" i="5" s="1"/>
  <c r="AP432" i="5"/>
  <c r="AR432" i="5" s="1"/>
  <c r="AP289" i="5"/>
  <c r="BI289" i="5" s="1"/>
  <c r="AP287" i="5"/>
  <c r="AQ287" i="5" s="1"/>
  <c r="AP146" i="5"/>
  <c r="AQ146" i="5" s="1"/>
  <c r="AP379" i="5"/>
  <c r="BI379" i="5" s="1"/>
  <c r="AP298" i="5"/>
  <c r="AQ298" i="5" s="1"/>
  <c r="AP141" i="5"/>
  <c r="AR141" i="5" s="1"/>
  <c r="AP227" i="5"/>
  <c r="AQ227" i="5" s="1"/>
  <c r="AP438" i="5"/>
  <c r="BI438" i="5" s="1"/>
  <c r="AP274" i="5"/>
  <c r="AR274" i="5" s="1"/>
  <c r="AP282" i="5"/>
  <c r="AR282" i="5" s="1"/>
  <c r="AP339" i="5"/>
  <c r="BI339" i="5" s="1"/>
  <c r="AP98" i="5"/>
  <c r="BI98" i="5" s="1"/>
  <c r="AP546" i="5"/>
  <c r="BI546" i="5" s="1"/>
  <c r="AP192" i="5"/>
  <c r="AQ192" i="5" s="1"/>
  <c r="AP172" i="5"/>
  <c r="BI172" i="5" s="1"/>
  <c r="AP467" i="5"/>
  <c r="BI467" i="5" s="1"/>
  <c r="AP106" i="5"/>
  <c r="AQ106" i="5" s="1"/>
  <c r="AP244" i="5"/>
  <c r="AR244" i="5" s="1"/>
  <c r="AP356" i="5"/>
  <c r="BI356" i="5" s="1"/>
  <c r="AP345" i="5"/>
  <c r="BI345" i="5" s="1"/>
  <c r="AP487" i="5"/>
  <c r="AR487" i="5" s="1"/>
  <c r="AP512" i="5"/>
  <c r="AQ512" i="5" s="1"/>
  <c r="AP346" i="5"/>
  <c r="AQ346" i="5" s="1"/>
  <c r="AP170" i="5"/>
  <c r="BI170" i="5" s="1"/>
  <c r="AP481" i="5"/>
  <c r="AQ481" i="5" s="1"/>
  <c r="AP400" i="5"/>
  <c r="AR400" i="5" s="1"/>
  <c r="AP207" i="5"/>
  <c r="BI207" i="5" s="1"/>
  <c r="AP436" i="5"/>
  <c r="BI436" i="5" s="1"/>
  <c r="AP525" i="5"/>
  <c r="AQ525" i="5" s="1"/>
  <c r="AP99" i="5"/>
  <c r="AR99" i="5" s="1"/>
  <c r="AP139" i="5"/>
  <c r="BI139" i="5" s="1"/>
  <c r="AP277" i="5"/>
  <c r="AQ277" i="5" s="1"/>
  <c r="AP135" i="5"/>
  <c r="BI135" i="5" s="1"/>
  <c r="AP528" i="5"/>
  <c r="AR528" i="5" s="1"/>
  <c r="AP129" i="5"/>
  <c r="AQ129" i="5" s="1"/>
  <c r="AP86" i="5"/>
  <c r="AR86" i="5" s="1"/>
  <c r="AP197" i="5"/>
  <c r="AQ197" i="5" s="1"/>
  <c r="AP508" i="5"/>
  <c r="AQ508" i="5" s="1"/>
  <c r="AP266" i="5"/>
  <c r="AR266" i="5" s="1"/>
  <c r="AP65" i="5"/>
  <c r="AR65" i="5" s="1"/>
  <c r="AP291" i="5"/>
  <c r="AQ291" i="5" s="1"/>
  <c r="AP493" i="5"/>
  <c r="AR493" i="5" s="1"/>
  <c r="AP74" i="5"/>
  <c r="AR74" i="5" s="1"/>
  <c r="AP82" i="5"/>
  <c r="AQ82" i="5" s="1"/>
  <c r="AP478" i="5"/>
  <c r="AQ478" i="5" s="1"/>
  <c r="AP254" i="5"/>
  <c r="BI254" i="5" s="1"/>
  <c r="AP420" i="5"/>
  <c r="BI420" i="5" s="1"/>
  <c r="AP380" i="5"/>
  <c r="AQ380" i="5" s="1"/>
  <c r="AP511" i="5"/>
  <c r="AR511" i="5" s="1"/>
  <c r="AP376" i="5"/>
  <c r="AQ376" i="5" s="1"/>
  <c r="AP357" i="5"/>
  <c r="AR357" i="5" s="1"/>
  <c r="AP275" i="5"/>
  <c r="BI275" i="5" s="1"/>
  <c r="AP261" i="5"/>
  <c r="AQ261" i="5" s="1"/>
  <c r="AP237" i="5"/>
  <c r="AQ237" i="5" s="1"/>
  <c r="AP469" i="5"/>
  <c r="BI469" i="5" s="1"/>
  <c r="AP134" i="5"/>
  <c r="BI134" i="5" s="1"/>
  <c r="AP263" i="5"/>
  <c r="AR263" i="5" s="1"/>
  <c r="AP387" i="5"/>
  <c r="AQ387" i="5" s="1"/>
  <c r="AP109" i="5"/>
  <c r="AR109" i="5" s="1"/>
  <c r="AP522" i="5"/>
  <c r="BI522" i="5" s="1"/>
  <c r="AP470" i="5"/>
  <c r="BI470" i="5" s="1"/>
  <c r="AP203" i="5"/>
  <c r="AQ203" i="5" s="1"/>
  <c r="AP133" i="5"/>
  <c r="AR133" i="5" s="1"/>
  <c r="AP40" i="5"/>
  <c r="AQ40" i="5" s="1"/>
  <c r="AP173" i="5"/>
  <c r="AR173" i="5" s="1"/>
  <c r="AP191" i="5"/>
  <c r="AQ191" i="5" s="1"/>
  <c r="AP517" i="5"/>
  <c r="BI517" i="5" s="1"/>
  <c r="AP256" i="5"/>
  <c r="AQ256" i="5" s="1"/>
  <c r="AP26" i="5"/>
  <c r="BI26" i="5" s="1"/>
  <c r="AP88" i="5"/>
  <c r="AR88" i="5" s="1"/>
  <c r="AP147" i="5"/>
  <c r="BI147" i="5" s="1"/>
  <c r="AP223" i="5"/>
  <c r="BI223" i="5" s="1"/>
  <c r="AP246" i="5"/>
  <c r="AR246" i="5" s="1"/>
  <c r="AP222" i="5"/>
  <c r="BI222" i="5" s="1"/>
  <c r="AP506" i="5"/>
  <c r="AQ506" i="5" s="1"/>
  <c r="AP157" i="5"/>
  <c r="AR157" i="5" s="1"/>
  <c r="AP175" i="5"/>
  <c r="BI175" i="5" s="1"/>
  <c r="AP538" i="5"/>
  <c r="BI538" i="5" s="1"/>
  <c r="AP398" i="5"/>
  <c r="AQ398" i="5" s="1"/>
  <c r="AP53" i="5"/>
  <c r="AR53" i="5" s="1"/>
  <c r="AP215" i="5"/>
  <c r="BI215" i="5" s="1"/>
  <c r="AP83" i="5"/>
  <c r="AR83" i="5" s="1"/>
  <c r="AP27" i="5"/>
  <c r="BI27" i="5" s="1"/>
  <c r="AP480" i="5"/>
  <c r="AQ480" i="5" s="1"/>
  <c r="AP536" i="5"/>
  <c r="AR536" i="5" s="1"/>
  <c r="AP543" i="5"/>
  <c r="AQ543" i="5" s="1"/>
  <c r="AP519" i="5"/>
  <c r="BI519" i="5" s="1"/>
  <c r="AP490" i="5"/>
  <c r="BI490" i="5" s="1"/>
  <c r="AP496" i="5"/>
  <c r="AQ496" i="5" s="1"/>
  <c r="AP477" i="5"/>
  <c r="AQ477" i="5" s="1"/>
  <c r="AP534" i="5"/>
  <c r="BI534" i="5" s="1"/>
  <c r="AP516" i="5"/>
  <c r="AQ516" i="5" s="1"/>
  <c r="AP489" i="5"/>
  <c r="BI489" i="5" s="1"/>
  <c r="AP560" i="5"/>
  <c r="AQ560" i="5" s="1"/>
  <c r="AP550" i="5"/>
  <c r="BI550" i="5" s="1"/>
  <c r="AP507" i="5"/>
  <c r="AQ507" i="5" s="1"/>
  <c r="AP95" i="5"/>
  <c r="AR95" i="5" s="1"/>
  <c r="AP34" i="5"/>
  <c r="AQ34" i="5" s="1"/>
  <c r="AP198" i="5"/>
  <c r="AQ198" i="5" s="1"/>
  <c r="AP57" i="5"/>
  <c r="BI57" i="5" s="1"/>
  <c r="AP341" i="5"/>
  <c r="AQ341" i="5" s="1"/>
  <c r="AP182" i="5"/>
  <c r="BI182" i="5" s="1"/>
  <c r="AP303" i="5"/>
  <c r="AR303" i="5" s="1"/>
  <c r="AP463" i="5"/>
  <c r="AR463" i="5" s="1"/>
  <c r="AP150" i="5"/>
  <c r="AR150" i="5" s="1"/>
  <c r="AP309" i="5"/>
  <c r="BI309" i="5" s="1"/>
  <c r="AP317" i="5"/>
  <c r="AQ317" i="5" s="1"/>
  <c r="AP302" i="5"/>
  <c r="AR302" i="5" s="1"/>
  <c r="AP533" i="5"/>
  <c r="AR533" i="5" s="1"/>
  <c r="AP194" i="5"/>
  <c r="AR194" i="5" s="1"/>
  <c r="AP465" i="5"/>
  <c r="BI465" i="5" s="1"/>
  <c r="AP131" i="5"/>
  <c r="BI131" i="5" s="1"/>
  <c r="AP445" i="5"/>
  <c r="BI445" i="5" s="1"/>
  <c r="AP29" i="5"/>
  <c r="BI29" i="5" s="1"/>
  <c r="AP395" i="5"/>
  <c r="BI395" i="5" s="1"/>
  <c r="AP378" i="5"/>
  <c r="AR378" i="5" s="1"/>
  <c r="AP293" i="5"/>
  <c r="AR293" i="5" s="1"/>
  <c r="AP81" i="5"/>
  <c r="BI81" i="5" s="1"/>
  <c r="AP130" i="5"/>
  <c r="AQ130" i="5" s="1"/>
  <c r="AP121" i="5"/>
  <c r="BI121" i="5" s="1"/>
  <c r="AP236" i="5"/>
  <c r="BI236" i="5" s="1"/>
  <c r="AP439" i="5"/>
  <c r="AQ439" i="5" s="1"/>
  <c r="AP158" i="5"/>
  <c r="AR158" i="5" s="1"/>
  <c r="AP453" i="5"/>
  <c r="BI453" i="5" s="1"/>
  <c r="AP212" i="5"/>
  <c r="AR212" i="5" s="1"/>
  <c r="AP370" i="5"/>
  <c r="BI370" i="5" s="1"/>
  <c r="AP234" i="5"/>
  <c r="BI234" i="5" s="1"/>
  <c r="AP382" i="5"/>
  <c r="AQ382" i="5" s="1"/>
  <c r="AP509" i="5"/>
  <c r="BI509" i="5" s="1"/>
  <c r="AP35" i="5"/>
  <c r="AR35" i="5" s="1"/>
  <c r="AP238" i="5"/>
  <c r="AR238" i="5" s="1"/>
  <c r="AP557" i="5"/>
  <c r="AQ557" i="5" s="1"/>
  <c r="AP230" i="5"/>
  <c r="AQ230" i="5" s="1"/>
  <c r="AP174" i="5"/>
  <c r="BI174" i="5" s="1"/>
  <c r="AP354" i="5"/>
  <c r="AR354" i="5" s="1"/>
  <c r="AP450" i="5"/>
  <c r="AQ450" i="5" s="1"/>
  <c r="AP50" i="5"/>
  <c r="AQ50" i="5" s="1"/>
  <c r="AP269" i="5"/>
  <c r="AR269" i="5" s="1"/>
  <c r="AP426" i="5"/>
  <c r="AQ426" i="5" s="1"/>
  <c r="AP474" i="5"/>
  <c r="AR474" i="5" s="1"/>
  <c r="AP385" i="5"/>
  <c r="BI385" i="5" s="1"/>
  <c r="AP48" i="5"/>
  <c r="BI48" i="5" s="1"/>
  <c r="AP279" i="5"/>
  <c r="AR279" i="5" s="1"/>
  <c r="AP361" i="5"/>
  <c r="AQ361" i="5" s="1"/>
  <c r="AP63" i="5"/>
  <c r="AR63" i="5" s="1"/>
  <c r="AP424" i="5"/>
  <c r="AQ424" i="5" s="1"/>
  <c r="AP319" i="5"/>
  <c r="BI319" i="5" s="1"/>
  <c r="AP19" i="5"/>
  <c r="BI19" i="5" s="1"/>
  <c r="AP122" i="5"/>
  <c r="BI122" i="5" s="1"/>
  <c r="AP310" i="5"/>
  <c r="AQ310" i="5" s="1"/>
  <c r="AP393" i="5"/>
  <c r="AQ393" i="5" s="1"/>
  <c r="AP305" i="5"/>
  <c r="BI305" i="5" s="1"/>
  <c r="AP499" i="5"/>
  <c r="BI499" i="5" s="1"/>
  <c r="AP217" i="5"/>
  <c r="BI217" i="5" s="1"/>
  <c r="AP273" i="5"/>
  <c r="BI273" i="5" s="1"/>
  <c r="AP332" i="5"/>
  <c r="AR332" i="5" s="1"/>
  <c r="AP226" i="5"/>
  <c r="AQ226" i="5" s="1"/>
  <c r="AP59" i="5"/>
  <c r="AQ59" i="5" s="1"/>
  <c r="AP351" i="5"/>
  <c r="AQ351" i="5" s="1"/>
  <c r="AP221" i="5"/>
  <c r="BI221" i="5" s="1"/>
  <c r="AP433" i="5"/>
  <c r="AR433" i="5" s="1"/>
  <c r="AP87" i="5"/>
  <c r="BI87" i="5" s="1"/>
  <c r="AP403" i="5"/>
  <c r="BI403" i="5" s="1"/>
  <c r="AP201" i="5"/>
  <c r="AR201" i="5" s="1"/>
  <c r="AP268" i="5"/>
  <c r="AQ268" i="5" s="1"/>
  <c r="AP408" i="5"/>
  <c r="BI408" i="5" s="1"/>
  <c r="AP537" i="5"/>
  <c r="AR537" i="5" s="1"/>
  <c r="AP208" i="5"/>
  <c r="BI208" i="5" s="1"/>
  <c r="AP412" i="5"/>
  <c r="BI412" i="5" s="1"/>
  <c r="AP245" i="5"/>
  <c r="BI245" i="5" s="1"/>
  <c r="AP233" i="5"/>
  <c r="AR233" i="5" s="1"/>
  <c r="AP149" i="5"/>
  <c r="BI149" i="5" s="1"/>
  <c r="AP545" i="5"/>
  <c r="AQ545" i="5" s="1"/>
  <c r="AP272" i="5"/>
  <c r="AQ272" i="5" s="1"/>
  <c r="AP373" i="5"/>
  <c r="BI373" i="5" s="1"/>
  <c r="AP44" i="5"/>
  <c r="AR44" i="5" s="1"/>
  <c r="AP137" i="5"/>
  <c r="AR137" i="5" s="1"/>
  <c r="AP67" i="5"/>
  <c r="AQ67" i="5" s="1"/>
  <c r="AP464" i="5"/>
  <c r="AR464" i="5" s="1"/>
  <c r="AP502" i="5"/>
  <c r="AR502" i="5" s="1"/>
  <c r="AP423" i="5"/>
  <c r="AR423" i="5" s="1"/>
  <c r="AP114" i="5"/>
  <c r="BI114" i="5" s="1"/>
  <c r="AP214" i="5"/>
  <c r="AR214" i="5" s="1"/>
  <c r="AP428" i="5"/>
  <c r="AQ428" i="5" s="1"/>
  <c r="AP42" i="5"/>
  <c r="AR42" i="5" s="1"/>
  <c r="AP126" i="5"/>
  <c r="AQ126" i="5" s="1"/>
  <c r="AP283" i="5"/>
  <c r="BI283" i="5" s="1"/>
  <c r="AP417" i="5"/>
  <c r="BI417" i="5" s="1"/>
  <c r="AP374" i="5"/>
  <c r="AR374" i="5" s="1"/>
  <c r="AP190" i="5"/>
  <c r="AR190" i="5" s="1"/>
  <c r="AP36" i="5"/>
  <c r="BI36" i="5" s="1"/>
  <c r="AP389" i="5"/>
  <c r="AQ389" i="5" s="1"/>
  <c r="AP486" i="5"/>
  <c r="AR486" i="5" s="1"/>
  <c r="AP257" i="5"/>
  <c r="BI257" i="5" s="1"/>
  <c r="AP451" i="5"/>
  <c r="BI451" i="5" s="1"/>
  <c r="AP548" i="5"/>
  <c r="AQ548" i="5" s="1"/>
  <c r="AP100" i="5"/>
  <c r="AR100" i="5" s="1"/>
  <c r="AP153" i="5"/>
  <c r="AQ153" i="5" s="1"/>
  <c r="AP189" i="5"/>
  <c r="BI189" i="5" s="1"/>
  <c r="AP440" i="5"/>
  <c r="BI440" i="5" s="1"/>
  <c r="AP461" i="5"/>
  <c r="AQ461" i="5" s="1"/>
  <c r="X80" i="4"/>
  <c r="AJ80" i="4" s="1"/>
  <c r="X91" i="4"/>
  <c r="AJ91" i="4" s="1"/>
  <c r="AP10" i="5"/>
  <c r="BI10" i="5" s="1"/>
  <c r="X99" i="4"/>
  <c r="AJ99" i="4" s="1"/>
  <c r="X71" i="4"/>
  <c r="AJ71" i="4" s="1"/>
  <c r="X138" i="4"/>
  <c r="AJ138" i="4" s="1"/>
  <c r="X68" i="4"/>
  <c r="AJ68" i="4" s="1"/>
  <c r="X115" i="4"/>
  <c r="AJ115" i="4" s="1"/>
  <c r="X70" i="4"/>
  <c r="AJ70" i="4" s="1"/>
  <c r="X72" i="4"/>
  <c r="AJ72" i="4" s="1"/>
  <c r="X132" i="4"/>
  <c r="AJ132" i="4" s="1"/>
  <c r="X41" i="4"/>
  <c r="AJ41" i="4" s="1"/>
  <c r="X120" i="4"/>
  <c r="AJ120" i="4" s="1"/>
  <c r="X107" i="4"/>
  <c r="AJ107" i="4" s="1"/>
  <c r="X150" i="4"/>
  <c r="AJ150" i="4" s="1"/>
  <c r="X83" i="4"/>
  <c r="AJ83" i="4" s="1"/>
  <c r="X84" i="4"/>
  <c r="AJ84" i="4" s="1"/>
  <c r="X100" i="4"/>
  <c r="AJ100" i="4" s="1"/>
  <c r="X119" i="4"/>
  <c r="AJ119" i="4" s="1"/>
  <c r="BE10" i="5"/>
  <c r="BD10" i="5"/>
  <c r="X106" i="4"/>
  <c r="AJ106" i="4" s="1"/>
  <c r="Y106" i="4"/>
  <c r="AR106" i="4" s="1"/>
  <c r="X78" i="4"/>
  <c r="AJ78" i="4" s="1"/>
  <c r="Y78" i="4"/>
  <c r="AR78" i="4" s="1"/>
  <c r="Y62" i="4"/>
  <c r="AR62" i="4" s="1"/>
  <c r="X155" i="4"/>
  <c r="AJ155" i="4" s="1"/>
  <c r="Y155" i="4"/>
  <c r="AR155" i="4" s="1"/>
  <c r="X152" i="4"/>
  <c r="AJ152" i="4" s="1"/>
  <c r="Y152" i="4"/>
  <c r="AR152" i="4" s="1"/>
  <c r="X127" i="4"/>
  <c r="AJ127" i="4" s="1"/>
  <c r="Y127" i="4"/>
  <c r="AR127" i="4" s="1"/>
  <c r="X77" i="4"/>
  <c r="AJ77" i="4" s="1"/>
  <c r="Y77" i="4"/>
  <c r="AR77" i="4" s="1"/>
  <c r="X149" i="4"/>
  <c r="AJ149" i="4" s="1"/>
  <c r="Y149" i="4"/>
  <c r="AR149" i="4" s="1"/>
  <c r="X134" i="4"/>
  <c r="AJ134" i="4" s="1"/>
  <c r="Y134" i="4"/>
  <c r="AR134" i="4" s="1"/>
  <c r="X114" i="4"/>
  <c r="AJ114" i="4" s="1"/>
  <c r="Y114" i="4"/>
  <c r="AR114" i="4" s="1"/>
  <c r="X76" i="4"/>
  <c r="AJ76" i="4" s="1"/>
  <c r="Y76" i="4"/>
  <c r="AR76" i="4" s="1"/>
  <c r="X89" i="4"/>
  <c r="AJ89" i="4" s="1"/>
  <c r="Y89" i="4"/>
  <c r="AR89" i="4" s="1"/>
  <c r="Y61" i="4"/>
  <c r="AR61" i="4" s="1"/>
  <c r="X145" i="4"/>
  <c r="AJ145" i="4" s="1"/>
  <c r="Y145" i="4"/>
  <c r="AR145" i="4" s="1"/>
  <c r="X94" i="4"/>
  <c r="AJ94" i="4" s="1"/>
  <c r="Y94" i="4"/>
  <c r="AR94" i="4" s="1"/>
  <c r="X121" i="4"/>
  <c r="AJ121" i="4" s="1"/>
  <c r="Y121" i="4"/>
  <c r="AR121" i="4" s="1"/>
  <c r="X97" i="4"/>
  <c r="AJ97" i="4" s="1"/>
  <c r="Y97" i="4"/>
  <c r="AR97" i="4" s="1"/>
  <c r="AP69" i="5"/>
  <c r="AR69" i="5" s="1"/>
  <c r="AP297" i="5"/>
  <c r="AR297" i="5" s="1"/>
  <c r="AP152" i="5"/>
  <c r="AR152" i="5" s="1"/>
  <c r="AP180" i="5"/>
  <c r="AR180" i="5" s="1"/>
  <c r="AP51" i="5"/>
  <c r="AQ51" i="5" s="1"/>
  <c r="AP520" i="5"/>
  <c r="BI520" i="5" s="1"/>
  <c r="AP388" i="5"/>
  <c r="AQ388" i="5" s="1"/>
  <c r="AP479" i="5"/>
  <c r="BI479" i="5" s="1"/>
  <c r="AP549" i="5"/>
  <c r="BI549" i="5" s="1"/>
  <c r="AP434" i="5"/>
  <c r="AQ434" i="5" s="1"/>
  <c r="AP323" i="5"/>
  <c r="BI323" i="5" s="1"/>
  <c r="AP110" i="5"/>
  <c r="AQ110" i="5" s="1"/>
  <c r="AP435" i="5"/>
  <c r="BI435" i="5" s="1"/>
  <c r="AP510" i="5"/>
  <c r="AQ510" i="5" s="1"/>
  <c r="AP443" i="5"/>
  <c r="AR443" i="5" s="1"/>
  <c r="AP104" i="5"/>
  <c r="AQ104" i="5" s="1"/>
  <c r="AP364" i="5"/>
  <c r="BI364" i="5" s="1"/>
  <c r="AP281" i="5"/>
  <c r="AR281" i="5" s="1"/>
  <c r="X140" i="4"/>
  <c r="AJ140" i="4" s="1"/>
  <c r="Y140" i="4"/>
  <c r="AR140" i="4" s="1"/>
  <c r="X136" i="4"/>
  <c r="AJ136" i="4" s="1"/>
  <c r="Y136" i="4"/>
  <c r="AR136" i="4" s="1"/>
  <c r="X111" i="4"/>
  <c r="AJ111" i="4" s="1"/>
  <c r="Y111" i="4"/>
  <c r="AR111" i="4" s="1"/>
  <c r="X73" i="4"/>
  <c r="AJ73" i="4" s="1"/>
  <c r="Y73" i="4"/>
  <c r="AR73" i="4" s="1"/>
  <c r="X156" i="4"/>
  <c r="AJ156" i="4" s="1"/>
  <c r="Y156" i="4"/>
  <c r="AR156" i="4" s="1"/>
  <c r="X66" i="4"/>
  <c r="AJ66" i="4" s="1"/>
  <c r="Y66" i="4"/>
  <c r="AR66" i="4" s="1"/>
  <c r="X112" i="4"/>
  <c r="AJ112" i="4" s="1"/>
  <c r="Y112" i="4"/>
  <c r="AR112" i="4" s="1"/>
  <c r="X131" i="4"/>
  <c r="AJ131" i="4" s="1"/>
  <c r="Y131" i="4"/>
  <c r="AR131" i="4" s="1"/>
  <c r="X118" i="4"/>
  <c r="AJ118" i="4" s="1"/>
  <c r="Y118" i="4"/>
  <c r="AR118" i="4" s="1"/>
  <c r="X82" i="4"/>
  <c r="AJ82" i="4" s="1"/>
  <c r="Y82" i="4"/>
  <c r="AR82" i="4" s="1"/>
  <c r="X95" i="4"/>
  <c r="AJ95" i="4" s="1"/>
  <c r="Y95" i="4"/>
  <c r="AR95" i="4" s="1"/>
  <c r="Y56" i="4"/>
  <c r="AR56" i="4" s="1"/>
  <c r="X141" i="4"/>
  <c r="AJ141" i="4" s="1"/>
  <c r="Y141" i="4"/>
  <c r="AR141" i="4" s="1"/>
  <c r="X101" i="4"/>
  <c r="AJ101" i="4" s="1"/>
  <c r="Y101" i="4"/>
  <c r="AR101" i="4" s="1"/>
  <c r="Y59" i="4"/>
  <c r="AR59" i="4" s="1"/>
  <c r="X86" i="4"/>
  <c r="AJ86" i="4" s="1"/>
  <c r="Y86" i="4"/>
  <c r="AR86" i="4" s="1"/>
  <c r="X90" i="4"/>
  <c r="AJ90" i="4" s="1"/>
  <c r="Y90" i="4"/>
  <c r="AR90" i="4" s="1"/>
  <c r="X81" i="4"/>
  <c r="AJ81" i="4" s="1"/>
  <c r="Y81" i="4"/>
  <c r="AR81" i="4" s="1"/>
  <c r="X69" i="4"/>
  <c r="AJ69" i="4" s="1"/>
  <c r="Y69" i="4"/>
  <c r="AR69" i="4" s="1"/>
  <c r="Y63" i="4"/>
  <c r="AR63" i="4" s="1"/>
  <c r="X108" i="4"/>
  <c r="AJ108" i="4" s="1"/>
  <c r="Y108" i="4"/>
  <c r="AR108" i="4" s="1"/>
  <c r="X122" i="4"/>
  <c r="AJ122" i="4" s="1"/>
  <c r="Y122" i="4"/>
  <c r="AR122" i="4" s="1"/>
  <c r="AP355" i="5"/>
  <c r="AQ355" i="5" s="1"/>
  <c r="AP475" i="5"/>
  <c r="AQ475" i="5" s="1"/>
  <c r="AP155" i="5"/>
  <c r="AQ155" i="5" s="1"/>
  <c r="AP492" i="5"/>
  <c r="AR492" i="5" s="1"/>
  <c r="AP498" i="5"/>
  <c r="AQ498" i="5" s="1"/>
  <c r="AP311" i="5"/>
  <c r="AQ311" i="5" s="1"/>
  <c r="AP38" i="5"/>
  <c r="BI38" i="5" s="1"/>
  <c r="AP162" i="5"/>
  <c r="AR162" i="5" s="1"/>
  <c r="AP405" i="5"/>
  <c r="AQ405" i="5" s="1"/>
  <c r="AP24" i="5"/>
  <c r="AR24" i="5" s="1"/>
  <c r="AP78" i="5"/>
  <c r="AQ78" i="5" s="1"/>
  <c r="AP362" i="5"/>
  <c r="AQ362" i="5" s="1"/>
  <c r="AP169" i="5"/>
  <c r="BI169" i="5" s="1"/>
  <c r="AP381" i="5"/>
  <c r="BI381" i="5" s="1"/>
  <c r="AP296" i="5"/>
  <c r="AQ296" i="5" s="1"/>
  <c r="AP168" i="5"/>
  <c r="AQ168" i="5" s="1"/>
  <c r="AP145" i="5"/>
  <c r="BI145" i="5" s="1"/>
  <c r="AP196" i="5"/>
  <c r="BI196" i="5" s="1"/>
  <c r="AP402" i="5"/>
  <c r="AR402" i="5" s="1"/>
  <c r="AP39" i="5"/>
  <c r="AR39" i="5" s="1"/>
  <c r="AP218" i="5"/>
  <c r="AQ218" i="5" s="1"/>
  <c r="AP335" i="5"/>
  <c r="AQ335" i="5" s="1"/>
  <c r="AP206" i="5"/>
  <c r="BI206" i="5" s="1"/>
  <c r="AP299" i="5"/>
  <c r="AR299" i="5" s="1"/>
  <c r="AP200" i="5"/>
  <c r="AR200" i="5" s="1"/>
  <c r="AP315" i="5"/>
  <c r="AR315" i="5" s="1"/>
  <c r="AP359" i="5"/>
  <c r="AR359" i="5" s="1"/>
  <c r="AP437" i="5"/>
  <c r="AQ437" i="5" s="1"/>
  <c r="AP179" i="5"/>
  <c r="AR179" i="5" s="1"/>
  <c r="AP448" i="5"/>
  <c r="AQ448" i="5" s="1"/>
  <c r="AP185" i="5"/>
  <c r="BI185" i="5" s="1"/>
  <c r="AP333" i="5"/>
  <c r="BI333" i="5" s="1"/>
  <c r="AP240" i="5"/>
  <c r="BI240" i="5" s="1"/>
  <c r="AP554" i="5"/>
  <c r="AR554" i="5" s="1"/>
  <c r="AP313" i="5"/>
  <c r="BI313" i="5" s="1"/>
  <c r="AP58" i="5"/>
  <c r="AQ58" i="5" s="1"/>
  <c r="AP247" i="5"/>
  <c r="AQ247" i="5" s="1"/>
  <c r="AP459" i="5"/>
  <c r="AQ459" i="5" s="1"/>
  <c r="AP458" i="5"/>
  <c r="AQ458" i="5" s="1"/>
  <c r="AP527" i="5"/>
  <c r="AR527" i="5" s="1"/>
  <c r="AP32" i="5"/>
  <c r="AQ32" i="5" s="1"/>
  <c r="AP62" i="5"/>
  <c r="AR62" i="5" s="1"/>
  <c r="AP265" i="5"/>
  <c r="AQ265" i="5" s="1"/>
  <c r="AP93" i="5"/>
  <c r="AR93" i="5" s="1"/>
  <c r="AP488" i="5"/>
  <c r="AR488" i="5" s="1"/>
  <c r="AP425" i="5"/>
  <c r="BI425" i="5" s="1"/>
  <c r="AP30" i="5"/>
  <c r="BI30" i="5" s="1"/>
  <c r="AP118" i="5"/>
  <c r="BI118" i="5" s="1"/>
  <c r="AP163" i="5"/>
  <c r="AR163" i="5" s="1"/>
  <c r="AP85" i="5"/>
  <c r="AQ85" i="5" s="1"/>
  <c r="AP544" i="5"/>
  <c r="AR544" i="5" s="1"/>
  <c r="AP532" i="5"/>
  <c r="AQ532" i="5" s="1"/>
  <c r="AP460" i="5"/>
  <c r="AQ460" i="5" s="1"/>
  <c r="AP371" i="5"/>
  <c r="AQ371" i="5" s="1"/>
  <c r="AP136" i="5"/>
  <c r="AR136" i="5" s="1"/>
  <c r="AP342" i="5"/>
  <c r="AQ342" i="5" s="1"/>
  <c r="Y57" i="4"/>
  <c r="AR57" i="4" s="1"/>
  <c r="X130" i="4"/>
  <c r="AJ130" i="4" s="1"/>
  <c r="Y130" i="4"/>
  <c r="AR130" i="4" s="1"/>
  <c r="X87" i="4"/>
  <c r="AJ87" i="4" s="1"/>
  <c r="X98" i="4"/>
  <c r="AJ98" i="4" s="1"/>
  <c r="Y98" i="4"/>
  <c r="AR98" i="4" s="1"/>
  <c r="Y65" i="4"/>
  <c r="AR65" i="4" s="1"/>
  <c r="X103" i="4"/>
  <c r="AJ103" i="4" s="1"/>
  <c r="X92" i="4"/>
  <c r="AJ92" i="4" s="1"/>
  <c r="Y92" i="4"/>
  <c r="AR92" i="4" s="1"/>
  <c r="X133" i="4"/>
  <c r="AJ133" i="4" s="1"/>
  <c r="Y133" i="4"/>
  <c r="AR133" i="4" s="1"/>
  <c r="X38" i="4"/>
  <c r="AJ38" i="4" s="1"/>
  <c r="X124" i="4"/>
  <c r="AJ124" i="4" s="1"/>
  <c r="Y124" i="4"/>
  <c r="AR124" i="4" s="1"/>
  <c r="Y58" i="4"/>
  <c r="AR58" i="4" s="1"/>
  <c r="X125" i="4"/>
  <c r="AJ125" i="4" s="1"/>
  <c r="Y125" i="4"/>
  <c r="AR125" i="4" s="1"/>
  <c r="X105" i="4"/>
  <c r="AJ105" i="4" s="1"/>
  <c r="Y105" i="4"/>
  <c r="AR105" i="4" s="1"/>
  <c r="X154" i="4"/>
  <c r="AJ154" i="4" s="1"/>
  <c r="Y154" i="4"/>
  <c r="AR154" i="4" s="1"/>
  <c r="X93" i="4"/>
  <c r="AJ93" i="4" s="1"/>
  <c r="Y93" i="4"/>
  <c r="AR93" i="4" s="1"/>
  <c r="X126" i="4"/>
  <c r="AJ126" i="4" s="1"/>
  <c r="Y126" i="4"/>
  <c r="AR126" i="4" s="1"/>
  <c r="X116" i="4"/>
  <c r="AJ116" i="4" s="1"/>
  <c r="Y116" i="4"/>
  <c r="AR116" i="4" s="1"/>
  <c r="X148" i="4"/>
  <c r="AJ148" i="4" s="1"/>
  <c r="Y148" i="4"/>
  <c r="AR148" i="4" s="1"/>
  <c r="X128" i="4"/>
  <c r="AJ128" i="4" s="1"/>
  <c r="Y128" i="4"/>
  <c r="AR128" i="4" s="1"/>
  <c r="X88" i="4"/>
  <c r="AJ88" i="4" s="1"/>
  <c r="X104" i="4"/>
  <c r="AJ104" i="4" s="1"/>
  <c r="X139" i="4"/>
  <c r="AJ139" i="4" s="1"/>
  <c r="X109" i="4"/>
  <c r="AJ109" i="4" s="1"/>
  <c r="Y109" i="4"/>
  <c r="AR109" i="4" s="1"/>
  <c r="AP301" i="5"/>
  <c r="AR301" i="5" s="1"/>
  <c r="AP556" i="5"/>
  <c r="AR556" i="5" s="1"/>
  <c r="AP90" i="5"/>
  <c r="AQ90" i="5" s="1"/>
  <c r="AP195" i="5"/>
  <c r="BI195" i="5" s="1"/>
  <c r="AP72" i="5"/>
  <c r="AQ72" i="5" s="1"/>
  <c r="AP501" i="5"/>
  <c r="AQ501" i="5" s="1"/>
  <c r="AP199" i="5"/>
  <c r="BI199" i="5" s="1"/>
  <c r="AP251" i="5"/>
  <c r="AR251" i="5" s="1"/>
  <c r="AP455" i="5"/>
  <c r="AQ455" i="5" s="1"/>
  <c r="AP249" i="5"/>
  <c r="AQ249" i="5" s="1"/>
  <c r="AP41" i="5"/>
  <c r="BI41" i="5" s="1"/>
  <c r="AP307" i="5"/>
  <c r="BI307" i="5" s="1"/>
  <c r="AP350" i="5"/>
  <c r="AQ350" i="5" s="1"/>
  <c r="AP66" i="5"/>
  <c r="BI66" i="5" s="1"/>
  <c r="AP312" i="5"/>
  <c r="AQ312" i="5" s="1"/>
  <c r="AP290" i="5"/>
  <c r="AR290" i="5" s="1"/>
  <c r="AP326" i="5"/>
  <c r="AR326" i="5" s="1"/>
  <c r="AP156" i="5"/>
  <c r="BI156" i="5" s="1"/>
  <c r="AP318" i="5"/>
  <c r="AR318" i="5" s="1"/>
  <c r="AP116" i="5"/>
  <c r="AR116" i="5" s="1"/>
  <c r="AP278" i="5"/>
  <c r="BI278" i="5" s="1"/>
  <c r="AP210" i="5"/>
  <c r="AQ210" i="5" s="1"/>
  <c r="AP551" i="5"/>
  <c r="AR551" i="5" s="1"/>
  <c r="AP288" i="5"/>
  <c r="AQ288" i="5" s="1"/>
  <c r="AP539" i="5"/>
  <c r="AR539" i="5" s="1"/>
  <c r="AP454" i="5"/>
  <c r="AQ454" i="5" s="1"/>
  <c r="AP164" i="5"/>
  <c r="AR164" i="5" s="1"/>
  <c r="AP167" i="5"/>
  <c r="AQ167" i="5" s="1"/>
  <c r="AP232" i="5"/>
  <c r="AQ232" i="5" s="1"/>
  <c r="X142" i="4"/>
  <c r="AJ142" i="4" s="1"/>
  <c r="Y142" i="4"/>
  <c r="AR142" i="4" s="1"/>
  <c r="Y55" i="4"/>
  <c r="AR55" i="4" s="1"/>
  <c r="X129" i="4"/>
  <c r="AJ129" i="4" s="1"/>
  <c r="Y129" i="4"/>
  <c r="AR129" i="4" s="1"/>
  <c r="X146" i="4"/>
  <c r="AJ146" i="4" s="1"/>
  <c r="X157" i="4"/>
  <c r="AJ157" i="4" s="1"/>
  <c r="X75" i="4"/>
  <c r="AJ75" i="4" s="1"/>
  <c r="Y75" i="4"/>
  <c r="AR75" i="4" s="1"/>
  <c r="X110" i="4"/>
  <c r="AJ110" i="4" s="1"/>
  <c r="Y110" i="4"/>
  <c r="AR110" i="4" s="1"/>
  <c r="X123" i="4"/>
  <c r="AJ123" i="4" s="1"/>
  <c r="Y123" i="4"/>
  <c r="AR123" i="4" s="1"/>
  <c r="Y60" i="4"/>
  <c r="AR60" i="4" s="1"/>
  <c r="X153" i="4"/>
  <c r="AJ153" i="4" s="1"/>
  <c r="Y54" i="4"/>
  <c r="AR54" i="4" s="1"/>
  <c r="X144" i="4"/>
  <c r="AJ144" i="4" s="1"/>
  <c r="Y144" i="4"/>
  <c r="AR144" i="4" s="1"/>
  <c r="X47" i="4"/>
  <c r="AJ47" i="4" s="1"/>
  <c r="X102" i="4"/>
  <c r="AJ102" i="4" s="1"/>
  <c r="Y102" i="4"/>
  <c r="AR102" i="4" s="1"/>
  <c r="X96" i="4"/>
  <c r="AJ96" i="4" s="1"/>
  <c r="Y96" i="4"/>
  <c r="AR96" i="4" s="1"/>
  <c r="X113" i="4"/>
  <c r="AJ113" i="4" s="1"/>
  <c r="Y113" i="4"/>
  <c r="AR113" i="4" s="1"/>
  <c r="X85" i="4"/>
  <c r="AJ85" i="4" s="1"/>
  <c r="Y85" i="4"/>
  <c r="AR85" i="4" s="1"/>
  <c r="X67" i="4"/>
  <c r="AJ67" i="4" s="1"/>
  <c r="Y67" i="4"/>
  <c r="AR67" i="4" s="1"/>
  <c r="X143" i="4"/>
  <c r="AJ143" i="4" s="1"/>
  <c r="Y143" i="4"/>
  <c r="AR143" i="4" s="1"/>
  <c r="X117" i="4"/>
  <c r="AJ117" i="4" s="1"/>
  <c r="Y117" i="4"/>
  <c r="AR117" i="4" s="1"/>
  <c r="X147" i="4"/>
  <c r="AJ147" i="4" s="1"/>
  <c r="X137" i="4"/>
  <c r="AJ137" i="4" s="1"/>
  <c r="Y137" i="4"/>
  <c r="AR137" i="4" s="1"/>
  <c r="X74" i="4"/>
  <c r="AJ74" i="4" s="1"/>
  <c r="Y74" i="4"/>
  <c r="AR74" i="4" s="1"/>
  <c r="X135" i="4"/>
  <c r="AJ135" i="4" s="1"/>
  <c r="Y135" i="4"/>
  <c r="AR135" i="4" s="1"/>
  <c r="X151" i="4"/>
  <c r="AJ151" i="4" s="1"/>
  <c r="Y151" i="4"/>
  <c r="AR151" i="4" s="1"/>
  <c r="X79" i="4"/>
  <c r="AJ79" i="4" s="1"/>
  <c r="Y79" i="4"/>
  <c r="AR79" i="4" s="1"/>
  <c r="AP427" i="5"/>
  <c r="AQ427" i="5" s="1"/>
  <c r="AP404" i="5"/>
  <c r="AR404" i="5" s="1"/>
  <c r="AP447" i="5"/>
  <c r="AQ447" i="5" s="1"/>
  <c r="AP187" i="5"/>
  <c r="AR187" i="5" s="1"/>
  <c r="AP166" i="5"/>
  <c r="AQ166" i="5" s="1"/>
  <c r="AP177" i="5"/>
  <c r="AQ177" i="5" s="1"/>
  <c r="AP12" i="5"/>
  <c r="AR12" i="5" s="1"/>
  <c r="AP97" i="5"/>
  <c r="AR97" i="5" s="1"/>
  <c r="AP37" i="5"/>
  <c r="AQ37" i="5" s="1"/>
  <c r="AP327" i="5"/>
  <c r="AQ327" i="5" s="1"/>
  <c r="AP276" i="5"/>
  <c r="AQ276" i="5" s="1"/>
  <c r="AP422" i="5"/>
  <c r="BI422" i="5" s="1"/>
  <c r="AP349" i="5"/>
  <c r="AR349" i="5" s="1"/>
  <c r="AP120" i="5"/>
  <c r="AR120" i="5" s="1"/>
  <c r="AP102" i="5"/>
  <c r="BI102" i="5" s="1"/>
  <c r="AP337" i="5"/>
  <c r="BI337" i="5" s="1"/>
  <c r="AP316" i="5"/>
  <c r="BI316" i="5" s="1"/>
  <c r="AP115" i="5"/>
  <c r="AR115" i="5" s="1"/>
  <c r="AP22" i="5"/>
  <c r="BI22" i="5" s="1"/>
  <c r="AP328" i="5"/>
  <c r="AQ328" i="5" s="1"/>
  <c r="AP396" i="5"/>
  <c r="AQ396" i="5" s="1"/>
  <c r="AP377" i="5"/>
  <c r="AQ377" i="5" s="1"/>
  <c r="AP280" i="5"/>
  <c r="AQ280" i="5" s="1"/>
  <c r="AP494" i="5"/>
  <c r="BI494" i="5" s="1"/>
  <c r="AP61" i="5"/>
  <c r="BI61" i="5" s="1"/>
  <c r="AP79" i="5"/>
  <c r="AR79" i="5" s="1"/>
  <c r="AP188" i="5"/>
  <c r="AR188" i="5" s="1"/>
  <c r="AP107" i="5"/>
  <c r="BI107" i="5" s="1"/>
  <c r="AP392" i="5"/>
  <c r="BI392" i="5" s="1"/>
  <c r="AP125" i="5"/>
  <c r="AQ125" i="5" s="1"/>
  <c r="AP441" i="5"/>
  <c r="AQ441" i="5" s="1"/>
  <c r="AP45" i="5"/>
  <c r="BI45" i="5" s="1"/>
  <c r="AP505" i="5"/>
  <c r="AR505" i="5" s="1"/>
  <c r="AP76" i="5"/>
  <c r="AR76" i="5" s="1"/>
  <c r="AP308" i="5"/>
  <c r="AR308" i="5" s="1"/>
  <c r="AP142" i="5"/>
  <c r="AR142" i="5" s="1"/>
  <c r="AP347" i="5"/>
  <c r="AQ347" i="5" s="1"/>
  <c r="AP258" i="5"/>
  <c r="AR258" i="5" s="1"/>
  <c r="AP523" i="5"/>
  <c r="AR523" i="5" s="1"/>
  <c r="AP94" i="5"/>
  <c r="BI94" i="5" s="1"/>
  <c r="AP300" i="5"/>
  <c r="AQ300" i="5" s="1"/>
  <c r="AP113" i="5"/>
  <c r="BI113" i="5" s="1"/>
  <c r="AP264" i="5"/>
  <c r="AR264" i="5" s="1"/>
  <c r="AP225" i="5"/>
  <c r="AR225" i="5" s="1"/>
  <c r="AP531" i="5"/>
  <c r="AQ531" i="5" s="1"/>
  <c r="AP514" i="5"/>
  <c r="AR514" i="5" s="1"/>
  <c r="AP25" i="5"/>
  <c r="AQ25" i="5" s="1"/>
  <c r="AP530" i="5"/>
  <c r="BI530" i="5" s="1"/>
  <c r="AP329" i="5"/>
  <c r="AQ329" i="5" s="1"/>
  <c r="AP7" i="5"/>
  <c r="AR7" i="5" s="1"/>
  <c r="AP383" i="5"/>
  <c r="BI383" i="5" s="1"/>
  <c r="AP322" i="5"/>
  <c r="AR322" i="5" s="1"/>
  <c r="AP410" i="5"/>
  <c r="AR410" i="5" s="1"/>
  <c r="AP47" i="5"/>
  <c r="BI47" i="5" s="1"/>
  <c r="AP409" i="5"/>
  <c r="BI409" i="5" s="1"/>
  <c r="AP457" i="5"/>
  <c r="AR457" i="5" s="1"/>
  <c r="AP204" i="5"/>
  <c r="BI204" i="5" s="1"/>
  <c r="AP369" i="5"/>
  <c r="BI369" i="5" s="1"/>
  <c r="AP294" i="5"/>
  <c r="AQ294" i="5" s="1"/>
  <c r="AP91" i="5"/>
  <c r="AR91" i="5" s="1"/>
  <c r="AP384" i="5"/>
  <c r="BI384" i="5" s="1"/>
  <c r="AP211" i="5"/>
  <c r="BI211" i="5" s="1"/>
  <c r="AP348" i="5"/>
  <c r="AR348" i="5" s="1"/>
  <c r="AP547" i="5"/>
  <c r="BI547" i="5" s="1"/>
  <c r="AP46" i="5"/>
  <c r="BI46" i="5" s="1"/>
  <c r="AP242" i="5"/>
  <c r="BI242" i="5" s="1"/>
  <c r="AP295" i="5"/>
  <c r="AQ295" i="5" s="1"/>
  <c r="AP430" i="5"/>
  <c r="BI430" i="5" s="1"/>
  <c r="AP366" i="5"/>
  <c r="AQ366" i="5" s="1"/>
  <c r="AP205" i="5"/>
  <c r="AR205" i="5" s="1"/>
  <c r="AP360" i="5"/>
  <c r="AR360" i="5" s="1"/>
  <c r="AP56" i="5"/>
  <c r="AR56" i="5" s="1"/>
  <c r="AP71" i="5"/>
  <c r="AR71" i="5" s="1"/>
  <c r="AP324" i="5"/>
  <c r="AR324" i="5" s="1"/>
  <c r="AP340" i="5"/>
  <c r="AR340" i="5" s="1"/>
  <c r="AP248" i="5"/>
  <c r="AR248" i="5" s="1"/>
  <c r="AP144" i="5"/>
  <c r="AR144" i="5" s="1"/>
  <c r="AP552" i="5"/>
  <c r="AR552" i="5" s="1"/>
  <c r="AP413" i="5"/>
  <c r="AR413" i="5" s="1"/>
  <c r="AP165" i="5"/>
  <c r="BI165" i="5" s="1"/>
  <c r="AP484" i="5"/>
  <c r="AQ484" i="5" s="1"/>
  <c r="AP75" i="5"/>
  <c r="AQ75" i="5" s="1"/>
  <c r="AP271" i="5"/>
  <c r="BI271" i="5" s="1"/>
  <c r="AP353" i="5"/>
  <c r="AQ353" i="5" s="1"/>
  <c r="AP262" i="5"/>
  <c r="BI262" i="5" s="1"/>
  <c r="AP491" i="5"/>
  <c r="BI491" i="5" s="1"/>
  <c r="AP60" i="5"/>
  <c r="AR60" i="5" s="1"/>
  <c r="AP390" i="5"/>
  <c r="AR390" i="5" s="1"/>
  <c r="AP553" i="5"/>
  <c r="BI553" i="5" s="1"/>
  <c r="AP28" i="5"/>
  <c r="AQ28" i="5" s="1"/>
  <c r="AP320" i="5"/>
  <c r="BI320" i="5" s="1"/>
  <c r="AP503" i="5"/>
  <c r="AR503" i="5" s="1"/>
  <c r="AP161" i="5"/>
  <c r="BI161" i="5" s="1"/>
  <c r="AP429" i="5"/>
  <c r="BI429" i="5" s="1"/>
  <c r="AP558" i="5"/>
  <c r="BI558" i="5" s="1"/>
  <c r="AP314" i="5"/>
  <c r="AQ314" i="5" s="1"/>
  <c r="AP334" i="5"/>
  <c r="BI334" i="5" s="1"/>
  <c r="AP540" i="5"/>
  <c r="AR540" i="5" s="1"/>
  <c r="AP123" i="5"/>
  <c r="BI123" i="5" s="1"/>
  <c r="AP325" i="5"/>
  <c r="AQ325" i="5" s="1"/>
  <c r="AP555" i="5"/>
  <c r="AR555" i="5" s="1"/>
  <c r="AP401" i="5"/>
  <c r="BI401" i="5" s="1"/>
  <c r="AP542" i="5"/>
  <c r="AR542" i="5" s="1"/>
  <c r="AP255" i="5"/>
  <c r="AQ255" i="5" s="1"/>
  <c r="AP89" i="5"/>
  <c r="AR89" i="5" s="1"/>
  <c r="AP55" i="5"/>
  <c r="BI55" i="5" s="1"/>
  <c r="AP495" i="5"/>
  <c r="AR495" i="5" s="1"/>
  <c r="AP513" i="5"/>
  <c r="BI513" i="5" s="1"/>
  <c r="BI124" i="5"/>
  <c r="AQ124" i="5"/>
  <c r="AR124" i="5"/>
  <c r="AN411" i="5"/>
  <c r="AO411" i="5"/>
  <c r="AO151" i="5"/>
  <c r="AN151" i="5"/>
  <c r="AO68" i="5"/>
  <c r="AN68" i="5"/>
  <c r="AO252" i="5"/>
  <c r="AN252" i="5"/>
  <c r="AO77" i="5"/>
  <c r="AN77" i="5"/>
  <c r="AO266" i="5"/>
  <c r="AN266" i="5"/>
  <c r="AO33" i="5"/>
  <c r="AN33" i="5"/>
  <c r="AN148" i="5"/>
  <c r="AO148" i="5"/>
  <c r="AO84" i="5"/>
  <c r="AN84" i="5"/>
  <c r="AO106" i="5"/>
  <c r="AN106" i="5"/>
  <c r="AN557" i="5"/>
  <c r="AO557" i="5"/>
  <c r="AN240" i="5"/>
  <c r="AO240" i="5"/>
  <c r="AN446" i="5"/>
  <c r="AO446" i="5"/>
  <c r="AN183" i="5"/>
  <c r="AO183" i="5"/>
  <c r="AO192" i="5"/>
  <c r="AN192" i="5"/>
  <c r="AO209" i="5"/>
  <c r="AN209" i="5"/>
  <c r="AN394" i="5"/>
  <c r="AO394" i="5"/>
  <c r="AO541" i="5"/>
  <c r="AN541" i="5"/>
  <c r="AN504" i="5"/>
  <c r="AO504" i="5"/>
  <c r="AN13" i="5"/>
  <c r="AO13" i="5"/>
  <c r="AO416" i="5"/>
  <c r="AN416" i="5"/>
  <c r="AN54" i="5"/>
  <c r="AO54" i="5"/>
  <c r="AN159" i="5"/>
  <c r="AO159" i="5"/>
  <c r="AO154" i="5"/>
  <c r="AN154" i="5"/>
  <c r="AO524" i="5"/>
  <c r="AN524" i="5"/>
  <c r="AN260" i="5"/>
  <c r="AO260" i="5"/>
  <c r="AO444" i="5"/>
  <c r="AN444" i="5"/>
  <c r="AN372" i="5"/>
  <c r="AO372" i="5"/>
  <c r="AN529" i="5"/>
  <c r="AO529" i="5"/>
  <c r="AN284" i="5"/>
  <c r="AO284" i="5"/>
  <c r="AO533" i="5"/>
  <c r="AN533" i="5"/>
  <c r="AO219" i="5"/>
  <c r="AN219" i="5"/>
  <c r="AO462" i="5"/>
  <c r="AN462" i="5"/>
  <c r="AN176" i="5"/>
  <c r="AO176" i="5"/>
  <c r="AO267" i="5"/>
  <c r="AN267" i="5"/>
  <c r="AN419" i="5"/>
  <c r="AO419" i="5"/>
  <c r="AO12" i="5"/>
  <c r="AN12" i="5"/>
  <c r="AO101" i="5"/>
  <c r="AN101" i="5"/>
  <c r="AO386" i="5"/>
  <c r="AN386" i="5"/>
  <c r="AO368" i="5"/>
  <c r="AN368" i="5"/>
  <c r="AO186" i="5"/>
  <c r="AN186" i="5"/>
  <c r="AO363" i="5"/>
  <c r="AN363" i="5"/>
  <c r="AO65" i="5"/>
  <c r="AN65" i="5"/>
  <c r="AO316" i="5"/>
  <c r="AN316" i="5"/>
  <c r="AO302" i="5"/>
  <c r="AN302" i="5"/>
  <c r="AO336" i="5"/>
  <c r="AN336" i="5"/>
  <c r="AN184" i="5"/>
  <c r="AO184" i="5"/>
  <c r="AN485" i="5"/>
  <c r="AO485" i="5"/>
  <c r="AO73" i="5"/>
  <c r="AN73" i="5"/>
  <c r="AO248" i="5"/>
  <c r="AN248" i="5"/>
  <c r="AH16" i="4"/>
  <c r="AE16" i="4"/>
  <c r="Z16" i="4"/>
  <c r="X16" i="4" s="1"/>
  <c r="AJ16" i="4" s="1"/>
  <c r="AH9" i="4"/>
  <c r="Z9" i="4"/>
  <c r="X9" i="4" s="1"/>
  <c r="AJ9" i="4" s="1"/>
  <c r="AE9" i="4"/>
  <c r="AH80" i="4"/>
  <c r="AE80" i="4"/>
  <c r="Z80" i="4"/>
  <c r="AA80" i="4"/>
  <c r="AH138" i="4"/>
  <c r="AE138" i="4"/>
  <c r="Z138" i="4"/>
  <c r="AA138" i="4"/>
  <c r="AH10" i="4"/>
  <c r="AE10" i="4"/>
  <c r="Z10" i="4"/>
  <c r="X10" i="4" s="1"/>
  <c r="AJ10" i="4" s="1"/>
  <c r="AH35" i="4"/>
  <c r="AE35" i="4"/>
  <c r="Z35" i="4"/>
  <c r="X35" i="4" s="1"/>
  <c r="AH97" i="4"/>
  <c r="AE97" i="4"/>
  <c r="AE27" i="4"/>
  <c r="AH27" i="4"/>
  <c r="Z27" i="4"/>
  <c r="X27" i="4" s="1"/>
  <c r="AH47" i="4"/>
  <c r="AA47" i="4"/>
  <c r="AE47" i="4"/>
  <c r="Z47" i="4"/>
  <c r="AE78" i="4"/>
  <c r="AH78" i="4"/>
  <c r="AH82" i="4"/>
  <c r="AE82" i="4"/>
  <c r="AE63" i="4"/>
  <c r="AH63" i="4"/>
  <c r="AH25" i="4"/>
  <c r="AE25" i="4"/>
  <c r="Z25" i="4"/>
  <c r="X25" i="4" s="1"/>
  <c r="AJ25" i="4" s="1"/>
  <c r="AE62" i="4"/>
  <c r="AH62" i="4"/>
  <c r="AE96" i="4"/>
  <c r="AH96" i="4"/>
  <c r="AH76" i="4"/>
  <c r="AE76" i="4"/>
  <c r="AH87" i="4"/>
  <c r="AE87" i="4"/>
  <c r="AA87" i="4"/>
  <c r="Z87" i="4"/>
  <c r="AE89" i="4"/>
  <c r="AH89" i="4"/>
  <c r="AE29" i="4"/>
  <c r="AH29" i="4"/>
  <c r="Z29" i="4"/>
  <c r="X29" i="4" s="1"/>
  <c r="AH65" i="4"/>
  <c r="AE65" i="4"/>
  <c r="AP68" i="5"/>
  <c r="AP159" i="5"/>
  <c r="AP446" i="5"/>
  <c r="AP411" i="5"/>
  <c r="AP176" i="5"/>
  <c r="AP529" i="5"/>
  <c r="AP444" i="5"/>
  <c r="AP154" i="5"/>
  <c r="AP260" i="5"/>
  <c r="AP394" i="5"/>
  <c r="AP252" i="5"/>
  <c r="AE120" i="4"/>
  <c r="AA120" i="4"/>
  <c r="Z120" i="4"/>
  <c r="AH120" i="4"/>
  <c r="AK9" i="5"/>
  <c r="AL9" i="5"/>
  <c r="AI9" i="5"/>
  <c r="AH9" i="5"/>
  <c r="AE142" i="4"/>
  <c r="AH142" i="4"/>
  <c r="AE51" i="4"/>
  <c r="AH51" i="4"/>
  <c r="Z51" i="4"/>
  <c r="X51" i="4" s="1"/>
  <c r="AE118" i="4"/>
  <c r="AH118" i="4"/>
  <c r="AE114" i="4"/>
  <c r="AH114" i="4"/>
  <c r="AE69" i="4"/>
  <c r="AH69" i="4"/>
  <c r="AH104" i="4"/>
  <c r="Z104" i="4"/>
  <c r="AA104" i="4"/>
  <c r="AE104" i="4"/>
  <c r="AH139" i="4"/>
  <c r="AA139" i="4"/>
  <c r="Z139" i="4"/>
  <c r="AE139" i="4"/>
  <c r="AH100" i="4"/>
  <c r="AE100" i="4"/>
  <c r="AA100" i="4"/>
  <c r="Z100" i="4"/>
  <c r="P44" i="5"/>
  <c r="P46" i="5"/>
  <c r="P297" i="5"/>
  <c r="P541" i="5"/>
  <c r="P28" i="5"/>
  <c r="P348" i="5"/>
  <c r="P524" i="5"/>
  <c r="P29" i="5"/>
  <c r="P19" i="5"/>
  <c r="P256" i="5"/>
  <c r="P85" i="5"/>
  <c r="P282" i="5"/>
  <c r="P137" i="5"/>
  <c r="P468" i="5"/>
  <c r="P281" i="5"/>
  <c r="P76" i="5"/>
  <c r="P431" i="5"/>
  <c r="P405" i="5"/>
  <c r="P97" i="5"/>
  <c r="P21" i="5"/>
  <c r="P542" i="5"/>
  <c r="P37" i="5"/>
  <c r="P410" i="5"/>
  <c r="P70" i="5"/>
  <c r="P341" i="5"/>
  <c r="P77" i="5"/>
  <c r="P326" i="5"/>
  <c r="P258" i="5"/>
  <c r="P328" i="5"/>
  <c r="P560" i="5"/>
  <c r="P49" i="5"/>
  <c r="P166" i="5"/>
  <c r="P144" i="5"/>
  <c r="P62" i="5"/>
  <c r="P358" i="5"/>
  <c r="P210" i="5"/>
  <c r="P415" i="5"/>
  <c r="P559" i="5"/>
  <c r="P81" i="5"/>
  <c r="P522" i="5"/>
  <c r="P181" i="5"/>
  <c r="P514" i="5"/>
  <c r="P419" i="5"/>
  <c r="P558" i="5"/>
  <c r="P110" i="5"/>
  <c r="P272" i="5"/>
  <c r="P225" i="5"/>
  <c r="P507" i="5"/>
  <c r="P88" i="5"/>
  <c r="P466" i="5"/>
  <c r="P260" i="5"/>
  <c r="P437" i="5"/>
  <c r="P421" i="5"/>
  <c r="P299" i="5"/>
  <c r="P430" i="5"/>
  <c r="P309" i="5"/>
  <c r="P209" i="5"/>
  <c r="P242" i="5"/>
  <c r="P377" i="5"/>
  <c r="P187" i="5"/>
  <c r="P500" i="5"/>
  <c r="P119" i="5"/>
  <c r="P213" i="5"/>
  <c r="P51" i="5"/>
  <c r="P8" i="5"/>
  <c r="P34" i="5"/>
  <c r="P38" i="5"/>
  <c r="P372" i="5"/>
  <c r="P473" i="5"/>
  <c r="P180" i="5"/>
  <c r="P448" i="5"/>
  <c r="P316" i="5"/>
  <c r="P353" i="5"/>
  <c r="P504" i="5"/>
  <c r="P445" i="5"/>
  <c r="P234" i="5"/>
  <c r="P164" i="5"/>
  <c r="P373" i="5"/>
  <c r="P90" i="5"/>
  <c r="P83" i="5"/>
  <c r="P254" i="5"/>
  <c r="P149" i="5"/>
  <c r="P141" i="5"/>
  <c r="P549" i="5"/>
  <c r="P277" i="5"/>
  <c r="P27" i="5"/>
  <c r="P286" i="5"/>
  <c r="P551" i="5"/>
  <c r="P87" i="5"/>
  <c r="P115" i="5"/>
  <c r="P362" i="5"/>
  <c r="P352" i="5"/>
  <c r="P554" i="5"/>
  <c r="P369" i="5"/>
  <c r="P475" i="5"/>
  <c r="P236" i="5"/>
  <c r="P370" i="5"/>
  <c r="P350" i="5"/>
  <c r="P45" i="5"/>
  <c r="P150" i="5"/>
  <c r="P324" i="5"/>
  <c r="P447" i="5"/>
  <c r="P485" i="5"/>
  <c r="P331" i="5"/>
  <c r="P458" i="5"/>
  <c r="P521" i="5"/>
  <c r="P125" i="5"/>
  <c r="P393" i="5"/>
  <c r="P329" i="5"/>
  <c r="P537" i="5"/>
  <c r="P443" i="5"/>
  <c r="P93" i="5"/>
  <c r="P245" i="5"/>
  <c r="P123" i="5"/>
  <c r="P265" i="5"/>
  <c r="P279" i="5"/>
  <c r="P402" i="5"/>
  <c r="P64" i="5"/>
  <c r="P160" i="5"/>
  <c r="P41" i="5"/>
  <c r="P301" i="5"/>
  <c r="P42" i="5"/>
  <c r="P292" i="5"/>
  <c r="P424" i="5"/>
  <c r="P195" i="5"/>
  <c r="P462" i="5"/>
  <c r="P98" i="5"/>
  <c r="P474" i="5"/>
  <c r="P243" i="5"/>
  <c r="P442" i="5"/>
  <c r="P531" i="5"/>
  <c r="P207" i="5"/>
  <c r="P162" i="5"/>
  <c r="P69" i="5"/>
  <c r="P406" i="5"/>
  <c r="P381" i="5"/>
  <c r="P153" i="5"/>
  <c r="P300" i="5"/>
  <c r="P36" i="5"/>
  <c r="P322" i="5"/>
  <c r="P349" i="5"/>
  <c r="P319" i="5"/>
  <c r="P31" i="5"/>
  <c r="P191" i="5"/>
  <c r="P429" i="5"/>
  <c r="P13" i="5"/>
  <c r="P513" i="5"/>
  <c r="P11" i="5"/>
  <c r="P124" i="5"/>
  <c r="P364" i="5"/>
  <c r="P332" i="5"/>
  <c r="P220" i="5"/>
  <c r="P74" i="5"/>
  <c r="P109" i="5"/>
  <c r="P214" i="5"/>
  <c r="P453" i="5"/>
  <c r="P339" i="5"/>
  <c r="P416" i="5"/>
  <c r="P440" i="5"/>
  <c r="P203" i="5"/>
  <c r="P482" i="5"/>
  <c r="P438" i="5"/>
  <c r="P134" i="5"/>
  <c r="P128" i="5"/>
  <c r="P171" i="5"/>
  <c r="P91" i="5"/>
  <c r="P515" i="5"/>
  <c r="P487" i="5"/>
  <c r="P399" i="5"/>
  <c r="P56" i="5"/>
  <c r="P132" i="5"/>
  <c r="P488" i="5"/>
  <c r="P417" i="5"/>
  <c r="P441" i="5"/>
  <c r="P401" i="5"/>
  <c r="P486" i="5"/>
  <c r="P185" i="5"/>
  <c r="P451" i="5"/>
  <c r="P104" i="5"/>
  <c r="P544" i="5"/>
  <c r="P457" i="5"/>
  <c r="P384" i="5"/>
  <c r="P217" i="5"/>
  <c r="P289" i="5"/>
  <c r="P346" i="5"/>
  <c r="P528" i="5"/>
  <c r="P320" i="5"/>
  <c r="P120" i="5"/>
  <c r="P262" i="5"/>
  <c r="P175" i="5"/>
  <c r="P403" i="5"/>
  <c r="P95" i="5"/>
  <c r="P112" i="5"/>
  <c r="P276" i="5"/>
  <c r="P479" i="5"/>
  <c r="P287" i="5"/>
  <c r="P435" i="5"/>
  <c r="P518" i="5"/>
  <c r="P72" i="5"/>
  <c r="P271" i="5"/>
  <c r="P82" i="5"/>
  <c r="P116" i="5"/>
  <c r="P509" i="5"/>
  <c r="P450" i="5"/>
  <c r="P412" i="5"/>
  <c r="P408" i="5"/>
  <c r="P465" i="5"/>
  <c r="P333" i="5"/>
  <c r="P538" i="5"/>
  <c r="P379" i="5"/>
  <c r="P122" i="5"/>
  <c r="P432" i="5"/>
  <c r="P535" i="5"/>
  <c r="P172" i="5"/>
  <c r="P543" i="5"/>
  <c r="P425" i="5"/>
  <c r="P33" i="5"/>
  <c r="P40" i="5"/>
  <c r="P79" i="5"/>
  <c r="P47" i="5"/>
  <c r="P495" i="5"/>
  <c r="P337" i="5"/>
  <c r="P492" i="5"/>
  <c r="P545" i="5"/>
  <c r="P231" i="5"/>
  <c r="P30" i="5"/>
  <c r="P383" i="5"/>
  <c r="P253" i="5"/>
  <c r="P449" i="5"/>
  <c r="P101" i="5"/>
  <c r="P194" i="5"/>
  <c r="P65" i="5"/>
  <c r="P323" i="5"/>
  <c r="P360" i="5"/>
  <c r="P269" i="5"/>
  <c r="P539" i="5"/>
  <c r="P394" i="5"/>
  <c r="P43" i="5"/>
  <c r="P61" i="5"/>
  <c r="P378" i="5"/>
  <c r="P477" i="5"/>
  <c r="P489" i="5"/>
  <c r="P519" i="5"/>
  <c r="P295" i="5"/>
  <c r="P121" i="5"/>
  <c r="P391" i="5"/>
  <c r="P268" i="5"/>
  <c r="P68" i="5"/>
  <c r="P155" i="5"/>
  <c r="P107" i="5"/>
  <c r="P22" i="5"/>
  <c r="P314" i="5"/>
  <c r="P229" i="5"/>
  <c r="P148" i="5"/>
  <c r="P411" i="5"/>
  <c r="P67" i="5"/>
  <c r="P526" i="5"/>
  <c r="P113" i="5"/>
  <c r="P470" i="5"/>
  <c r="P452" i="5"/>
  <c r="P307" i="5"/>
  <c r="P409" i="5"/>
  <c r="P55" i="5"/>
  <c r="P343" i="5"/>
  <c r="P223" i="5"/>
  <c r="P298" i="5"/>
  <c r="P230" i="5"/>
  <c r="P303" i="5"/>
  <c r="P99" i="5"/>
  <c r="P499" i="5"/>
  <c r="P555" i="5"/>
  <c r="P275" i="5"/>
  <c r="P290" i="5"/>
  <c r="P380" i="5"/>
  <c r="P139" i="5"/>
  <c r="P512" i="5"/>
  <c r="P266" i="5"/>
  <c r="P385" i="5"/>
  <c r="P325" i="5"/>
  <c r="P156" i="5"/>
  <c r="P335" i="5"/>
  <c r="P498" i="5"/>
  <c r="P178" i="5"/>
  <c r="P264" i="5"/>
  <c r="P159" i="5"/>
  <c r="P294" i="5"/>
  <c r="P240" i="5"/>
  <c r="P151" i="5"/>
  <c r="P168" i="5"/>
  <c r="P84" i="5"/>
  <c r="P208" i="5"/>
  <c r="P53" i="5"/>
  <c r="P476" i="5"/>
  <c r="P197" i="5"/>
  <c r="P327" i="5"/>
  <c r="P100" i="5"/>
  <c r="P389" i="5"/>
  <c r="P184" i="5"/>
  <c r="P414" i="5"/>
  <c r="P505" i="5"/>
  <c r="P523" i="5"/>
  <c r="P422" i="5"/>
  <c r="P204" i="5"/>
  <c r="P483" i="5"/>
  <c r="P252" i="5"/>
  <c r="P108" i="5"/>
  <c r="P308" i="5"/>
  <c r="P388" i="5"/>
  <c r="P267" i="5"/>
  <c r="P183" i="5"/>
  <c r="P73" i="5"/>
  <c r="P130" i="5"/>
  <c r="P530" i="5"/>
  <c r="P387" i="5"/>
  <c r="P397" i="5"/>
  <c r="P427" i="5"/>
  <c r="P532" i="5"/>
  <c r="P376" i="5"/>
  <c r="P222" i="5"/>
  <c r="P25" i="5"/>
  <c r="P426" i="5"/>
  <c r="P463" i="5"/>
  <c r="P510" i="5"/>
  <c r="P288" i="5"/>
  <c r="P285" i="5"/>
  <c r="P478" i="5"/>
  <c r="P296" i="5"/>
  <c r="P497" i="5"/>
  <c r="P154" i="5"/>
  <c r="P464" i="5"/>
  <c r="P201" i="5"/>
  <c r="P105" i="5"/>
  <c r="P237" i="5"/>
  <c r="P278" i="5"/>
  <c r="P506" i="5"/>
  <c r="P433" i="5"/>
  <c r="P491" i="5"/>
  <c r="P80" i="5"/>
  <c r="P552" i="5"/>
  <c r="P351" i="5"/>
  <c r="P263" i="5"/>
  <c r="P368" i="5"/>
  <c r="P66" i="5"/>
  <c r="P480" i="5"/>
  <c r="P347" i="5"/>
  <c r="P202" i="5"/>
  <c r="P118" i="5"/>
  <c r="P374" i="5"/>
  <c r="P274" i="5"/>
  <c r="P165" i="5"/>
  <c r="P434" i="5"/>
  <c r="P199" i="5"/>
  <c r="P342" i="5"/>
  <c r="P550" i="5"/>
  <c r="P182" i="5"/>
  <c r="P547" i="5"/>
  <c r="P255" i="5"/>
  <c r="P436" i="5"/>
  <c r="P366" i="5"/>
  <c r="P291" i="5"/>
  <c r="P306" i="5"/>
  <c r="P158" i="5"/>
  <c r="P190" i="5"/>
  <c r="P177" i="5"/>
  <c r="P359" i="5"/>
  <c r="P446" i="5"/>
  <c r="P246" i="5"/>
  <c r="P472" i="5"/>
  <c r="P321" i="5"/>
  <c r="P226" i="5"/>
  <c r="P20" i="5"/>
  <c r="P493" i="5"/>
  <c r="P23" i="5"/>
  <c r="P26" i="5"/>
  <c r="P186" i="5"/>
  <c r="P490" i="5"/>
  <c r="P305" i="5"/>
  <c r="P467" i="5"/>
  <c r="P508" i="5"/>
  <c r="P57" i="5"/>
  <c r="P136" i="5"/>
  <c r="P221" i="5"/>
  <c r="P533" i="5"/>
  <c r="P211" i="5"/>
  <c r="P481" i="5"/>
  <c r="P338" i="5"/>
  <c r="P516" i="5"/>
  <c r="P428" i="5"/>
  <c r="P138" i="5"/>
  <c r="P52" i="5"/>
  <c r="P63" i="5"/>
  <c r="P143" i="5"/>
  <c r="P536" i="5"/>
  <c r="P102" i="5"/>
  <c r="P247" i="5"/>
  <c r="P89" i="5"/>
  <c r="P548" i="5"/>
  <c r="P553" i="5"/>
  <c r="P511" i="5"/>
  <c r="P471" i="5"/>
  <c r="P54" i="5"/>
  <c r="P390" i="5"/>
  <c r="P205" i="5"/>
  <c r="P48" i="5"/>
  <c r="P365" i="5"/>
  <c r="P361" i="5"/>
  <c r="P396" i="5"/>
  <c r="P420" i="5"/>
  <c r="P196" i="5"/>
  <c r="P502" i="5"/>
  <c r="P501" i="5"/>
  <c r="P407" i="5"/>
  <c r="P189" i="5"/>
  <c r="P357" i="5"/>
  <c r="P86" i="5"/>
  <c r="P241" i="5"/>
  <c r="P219" i="5"/>
  <c r="P375" i="5"/>
  <c r="P106" i="5"/>
  <c r="P117" i="5"/>
  <c r="P340" i="5"/>
  <c r="P103" i="5"/>
  <c r="P284" i="5"/>
  <c r="P251" i="5"/>
  <c r="P215" i="5"/>
  <c r="P400" i="5"/>
  <c r="P176" i="5"/>
  <c r="P395" i="5"/>
  <c r="P146" i="5"/>
  <c r="P540" i="5"/>
  <c r="P114" i="5"/>
  <c r="P469" i="5"/>
  <c r="P317" i="5"/>
  <c r="P131" i="5"/>
  <c r="P318" i="5"/>
  <c r="P173" i="5"/>
  <c r="P216" i="5"/>
  <c r="P140" i="5"/>
  <c r="P293" i="5"/>
  <c r="P152" i="5"/>
  <c r="P78" i="5"/>
  <c r="P147" i="5"/>
  <c r="P461" i="5"/>
  <c r="P198" i="5"/>
  <c r="P169" i="5"/>
  <c r="P273" i="5"/>
  <c r="P161" i="5"/>
  <c r="P174" i="5"/>
  <c r="P163" i="5"/>
  <c r="P257" i="5"/>
  <c r="P334" i="5"/>
  <c r="P228" i="5"/>
  <c r="P179" i="5"/>
  <c r="P206" i="5"/>
  <c r="P12" i="5"/>
  <c r="P336" i="5"/>
  <c r="P192" i="5"/>
  <c r="P312" i="5"/>
  <c r="P126" i="5"/>
  <c r="P460" i="5"/>
  <c r="P520" i="5"/>
  <c r="P71" i="5"/>
  <c r="P227" i="5"/>
  <c r="P484" i="5"/>
  <c r="P200" i="5"/>
  <c r="P24" i="5"/>
  <c r="P157" i="5"/>
  <c r="P94" i="5"/>
  <c r="P398" i="5"/>
  <c r="P261" i="5"/>
  <c r="P259" i="5"/>
  <c r="P557" i="5"/>
  <c r="P404" i="5"/>
  <c r="P439" i="5"/>
  <c r="P145" i="5"/>
  <c r="P371" i="5"/>
  <c r="P310" i="5"/>
  <c r="P111" i="5"/>
  <c r="P212" i="5"/>
  <c r="P546" i="5"/>
  <c r="P250" i="5"/>
  <c r="P224" i="5"/>
  <c r="P503" i="5"/>
  <c r="P456" i="5"/>
  <c r="P354" i="5"/>
  <c r="P142" i="5"/>
  <c r="P10" i="5"/>
  <c r="P283" i="5"/>
  <c r="P355" i="5"/>
  <c r="P135" i="5"/>
  <c r="P270" i="5"/>
  <c r="P356" i="5"/>
  <c r="P59" i="5"/>
  <c r="P423" i="5"/>
  <c r="P127" i="5"/>
  <c r="P244" i="5"/>
  <c r="P392" i="5"/>
  <c r="P313" i="5"/>
  <c r="P232" i="5"/>
  <c r="P413" i="5"/>
  <c r="P529" i="5"/>
  <c r="P50" i="5"/>
  <c r="P32" i="5"/>
  <c r="P280" i="5"/>
  <c r="P386" i="5"/>
  <c r="P330" i="5"/>
  <c r="P238" i="5"/>
  <c r="P193" i="5"/>
  <c r="P39" i="5"/>
  <c r="P58" i="5"/>
  <c r="P233" i="5"/>
  <c r="P75" i="5"/>
  <c r="P188" i="5"/>
  <c r="P363" i="5"/>
  <c r="P345" i="5"/>
  <c r="P92" i="5"/>
  <c r="P239" i="5"/>
  <c r="P459" i="5"/>
  <c r="P556" i="5"/>
  <c r="P454" i="5"/>
  <c r="P302" i="5"/>
  <c r="P534" i="5"/>
  <c r="P494" i="5"/>
  <c r="P133" i="5"/>
  <c r="P496" i="5"/>
  <c r="P311" i="5"/>
  <c r="P304" i="5"/>
  <c r="P315" i="5"/>
  <c r="P60" i="5"/>
  <c r="P382" i="5"/>
  <c r="P525" i="5"/>
  <c r="P527" i="5"/>
  <c r="P367" i="5"/>
  <c r="P96" i="5"/>
  <c r="P218" i="5"/>
  <c r="P170" i="5"/>
  <c r="P444" i="5"/>
  <c r="P344" i="5"/>
  <c r="P418" i="5"/>
  <c r="P167" i="5"/>
  <c r="P517" i="5"/>
  <c r="P455" i="5"/>
  <c r="P235" i="5"/>
  <c r="P249" i="5"/>
  <c r="P35" i="5"/>
  <c r="P9" i="5"/>
  <c r="P248" i="5"/>
  <c r="P129" i="5"/>
  <c r="AE95" i="4"/>
  <c r="AH95" i="4"/>
  <c r="AE46" i="4"/>
  <c r="AH46" i="4"/>
  <c r="Z46" i="4"/>
  <c r="X46" i="4" s="1"/>
  <c r="AE50" i="4"/>
  <c r="AH50" i="4"/>
  <c r="Z50" i="4"/>
  <c r="AH48" i="4"/>
  <c r="AE48" i="4"/>
  <c r="Z48" i="4"/>
  <c r="X48" i="4" s="1"/>
  <c r="AH53" i="4"/>
  <c r="AE53" i="4"/>
  <c r="Z53" i="4"/>
  <c r="X53" i="4" s="1"/>
  <c r="AJ53" i="4" s="1"/>
  <c r="AE91" i="4"/>
  <c r="AA91" i="4"/>
  <c r="AH91" i="4"/>
  <c r="Z91" i="4"/>
  <c r="AH122" i="4"/>
  <c r="AE122" i="4"/>
  <c r="AH99" i="4"/>
  <c r="AA99" i="4"/>
  <c r="AE99" i="4"/>
  <c r="Z99" i="4"/>
  <c r="B185" i="2"/>
  <c r="B219" i="2"/>
  <c r="H64" i="1" s="1"/>
  <c r="AE7" i="5"/>
  <c r="BF7" i="5"/>
  <c r="AD7" i="5"/>
  <c r="B184" i="2" s="1"/>
  <c r="AE54" i="4"/>
  <c r="AH54" i="4"/>
  <c r="AH24" i="4"/>
  <c r="AE24" i="4"/>
  <c r="Z24" i="4"/>
  <c r="X24" i="4" s="1"/>
  <c r="AJ24" i="4" s="1"/>
  <c r="O11" i="5"/>
  <c r="Q408" i="5"/>
  <c r="Q53" i="5"/>
  <c r="Q154" i="5"/>
  <c r="Q150" i="5"/>
  <c r="Q287" i="5"/>
  <c r="Q385" i="5"/>
  <c r="Q464" i="5"/>
  <c r="Q459" i="5"/>
  <c r="Q418" i="5"/>
  <c r="Q424" i="5"/>
  <c r="Q402" i="5"/>
  <c r="Q495" i="5"/>
  <c r="Q177" i="5"/>
  <c r="Q404" i="5"/>
  <c r="Q45" i="5"/>
  <c r="Q504" i="5"/>
  <c r="Q392" i="5"/>
  <c r="Q325" i="5"/>
  <c r="Q292" i="5"/>
  <c r="Q416" i="5"/>
  <c r="Q471" i="5"/>
  <c r="Q339" i="5"/>
  <c r="Q131" i="5"/>
  <c r="Q400" i="5"/>
  <c r="Q48" i="5"/>
  <c r="Q79" i="5"/>
  <c r="Q488" i="5"/>
  <c r="Q69" i="5"/>
  <c r="Q421" i="5"/>
  <c r="Q455" i="5"/>
  <c r="Q233" i="5"/>
  <c r="Q137" i="5"/>
  <c r="Q366" i="5"/>
  <c r="Q214" i="5"/>
  <c r="Q281" i="5"/>
  <c r="Q168" i="5"/>
  <c r="Q143" i="5"/>
  <c r="Q285" i="5"/>
  <c r="Q442" i="5"/>
  <c r="B40" i="5"/>
  <c r="Q133" i="5"/>
  <c r="Q194" i="5"/>
  <c r="Q386" i="5"/>
  <c r="Q123" i="5"/>
  <c r="Q158" i="5"/>
  <c r="Q534" i="5"/>
  <c r="Q134" i="5"/>
  <c r="Q460" i="5"/>
  <c r="Q103" i="5"/>
  <c r="Q33" i="5"/>
  <c r="Q244" i="5"/>
  <c r="Q269" i="5"/>
  <c r="Q531" i="5"/>
  <c r="Q117" i="5"/>
  <c r="Q451" i="5"/>
  <c r="Q542" i="5"/>
  <c r="Q362" i="5"/>
  <c r="Q517" i="5"/>
  <c r="Q452" i="5"/>
  <c r="Q111" i="5"/>
  <c r="Q540" i="5"/>
  <c r="Q173" i="5"/>
  <c r="Q363" i="5"/>
  <c r="Q350" i="5"/>
  <c r="Q55" i="5"/>
  <c r="Q286" i="5"/>
  <c r="Q81" i="5"/>
  <c r="Q529" i="5"/>
  <c r="Q119" i="5"/>
  <c r="Q317" i="5"/>
  <c r="Q156" i="5"/>
  <c r="Q389" i="5"/>
  <c r="Q274" i="5"/>
  <c r="Q458" i="5"/>
  <c r="Q466" i="5"/>
  <c r="Q72" i="5"/>
  <c r="Q465" i="5"/>
  <c r="Q89" i="5"/>
  <c r="Q12" i="5"/>
  <c r="Q461" i="5"/>
  <c r="Q144" i="5"/>
  <c r="Q70" i="5"/>
  <c r="Q113" i="5"/>
  <c r="Q434" i="5"/>
  <c r="Q503" i="5"/>
  <c r="Q322" i="5"/>
  <c r="Q390" i="5"/>
  <c r="Q66" i="5"/>
  <c r="Q124" i="5"/>
  <c r="Q547" i="5"/>
  <c r="Q24" i="5"/>
  <c r="Q412" i="5"/>
  <c r="Q361" i="5"/>
  <c r="Q161" i="5"/>
  <c r="Q283" i="5"/>
  <c r="Q506" i="5"/>
  <c r="Q146" i="5"/>
  <c r="Q217" i="5"/>
  <c r="Q246" i="5"/>
  <c r="Q187" i="5"/>
  <c r="Q108" i="5"/>
  <c r="Q513" i="5"/>
  <c r="Q238" i="5"/>
  <c r="Q204" i="5"/>
  <c r="Q97" i="5"/>
  <c r="Q96" i="5"/>
  <c r="Q273" i="5"/>
  <c r="Q149" i="5"/>
  <c r="Q104" i="5"/>
  <c r="Q272" i="5"/>
  <c r="Q212" i="5"/>
  <c r="Q393" i="5"/>
  <c r="Q52" i="5"/>
  <c r="Q215" i="5"/>
  <c r="Q301" i="5"/>
  <c r="Q346" i="5"/>
  <c r="Q224" i="5"/>
  <c r="Q327" i="5"/>
  <c r="Q99" i="5"/>
  <c r="Q296" i="5"/>
  <c r="Q388" i="5"/>
  <c r="Q321" i="5"/>
  <c r="Q356" i="5"/>
  <c r="Q535" i="5"/>
  <c r="Q23" i="5"/>
  <c r="Q62" i="5"/>
  <c r="Q110" i="5"/>
  <c r="Q315" i="5"/>
  <c r="Q448" i="5"/>
  <c r="Q132" i="5"/>
  <c r="Q39" i="5"/>
  <c r="Q82" i="5"/>
  <c r="Q328" i="5"/>
  <c r="Q336" i="5"/>
  <c r="Q359" i="5"/>
  <c r="Q19" i="5"/>
  <c r="Q348" i="5"/>
  <c r="Q207" i="5"/>
  <c r="Q538" i="5"/>
  <c r="Q197" i="5"/>
  <c r="Q184" i="5"/>
  <c r="Q463" i="5"/>
  <c r="Q333" i="5"/>
  <c r="Q349" i="5"/>
  <c r="Q58" i="5"/>
  <c r="Q326" i="5"/>
  <c r="Q530" i="5"/>
  <c r="Q172" i="5"/>
  <c r="Q26" i="5"/>
  <c r="Q293" i="5"/>
  <c r="Q266" i="5"/>
  <c r="Q320" i="5"/>
  <c r="Q304" i="5"/>
  <c r="Q518" i="5"/>
  <c r="Q29" i="5"/>
  <c r="Q163" i="5"/>
  <c r="Q211" i="5"/>
  <c r="Q438" i="5"/>
  <c r="Q515" i="5"/>
  <c r="Q261" i="5"/>
  <c r="Q27" i="5"/>
  <c r="Q382" i="5"/>
  <c r="Q505" i="5"/>
  <c r="Q248" i="5"/>
  <c r="Q409" i="5"/>
  <c r="Q114" i="5"/>
  <c r="Q64" i="5"/>
  <c r="Q74" i="5"/>
  <c r="Q484" i="5"/>
  <c r="Q543" i="5"/>
  <c r="Q351" i="5"/>
  <c r="Q473" i="5"/>
  <c r="Q199" i="5"/>
  <c r="Q428" i="5"/>
  <c r="Q279" i="5"/>
  <c r="Q427" i="5"/>
  <c r="Q73" i="5"/>
  <c r="Q387" i="5"/>
  <c r="Q480" i="5"/>
  <c r="Q414" i="5"/>
  <c r="Q501" i="5"/>
  <c r="Q541" i="5"/>
  <c r="Q157" i="5"/>
  <c r="Q467" i="5"/>
  <c r="Q213" i="5"/>
  <c r="Q8" i="5"/>
  <c r="Q396" i="5"/>
  <c r="Q140" i="5"/>
  <c r="Q411" i="5"/>
  <c r="Q78" i="5"/>
  <c r="Q46" i="5"/>
  <c r="Q552" i="5"/>
  <c r="Q477" i="5"/>
  <c r="Q344" i="5"/>
  <c r="Q61" i="5"/>
  <c r="Q370" i="5"/>
  <c r="Q528" i="5"/>
  <c r="Q288" i="5"/>
  <c r="Q202" i="5"/>
  <c r="Q164" i="5"/>
  <c r="Q250" i="5"/>
  <c r="Q300" i="5"/>
  <c r="Q334" i="5"/>
  <c r="Q228" i="5"/>
  <c r="Q364" i="5"/>
  <c r="Q219" i="5"/>
  <c r="Q309" i="5"/>
  <c r="Q200" i="5"/>
  <c r="Q38" i="5"/>
  <c r="Q28" i="5"/>
  <c r="Q44" i="5"/>
  <c r="Q379" i="5"/>
  <c r="Q377" i="5"/>
  <c r="Q499" i="5"/>
  <c r="Q453" i="5"/>
  <c r="Q446" i="5"/>
  <c r="Q329" i="5"/>
  <c r="Q88" i="5"/>
  <c r="Q40" i="5"/>
  <c r="Q553" i="5"/>
  <c r="Q399" i="5"/>
  <c r="Q263" i="5"/>
  <c r="Q368" i="5"/>
  <c r="Q429" i="5"/>
  <c r="Q456" i="5"/>
  <c r="Q185" i="5"/>
  <c r="Q278" i="5"/>
  <c r="Q431" i="5"/>
  <c r="Q130" i="5"/>
  <c r="Q159" i="5"/>
  <c r="Q496" i="5"/>
  <c r="Q494" i="5"/>
  <c r="Q338" i="5"/>
  <c r="Q291" i="5"/>
  <c r="Q155" i="5"/>
  <c r="Q106" i="5"/>
  <c r="Q492" i="5"/>
  <c r="Q176" i="5"/>
  <c r="Q384" i="5"/>
  <c r="Q433" i="5"/>
  <c r="Q472" i="5"/>
  <c r="Q347" i="5"/>
  <c r="Q255" i="5"/>
  <c r="Q230" i="5"/>
  <c r="Q243" i="5"/>
  <c r="Q332" i="5"/>
  <c r="Q95" i="5"/>
  <c r="Q31" i="5"/>
  <c r="Q251" i="5"/>
  <c r="Q167" i="5"/>
  <c r="Q372" i="5"/>
  <c r="Q171" i="5"/>
  <c r="Q175" i="5"/>
  <c r="Q277" i="5"/>
  <c r="Q479" i="5"/>
  <c r="Q239" i="5"/>
  <c r="Q440" i="5"/>
  <c r="Q397" i="5"/>
  <c r="Q549" i="5"/>
  <c r="Q258" i="5"/>
  <c r="Q422" i="5"/>
  <c r="Q236" i="5"/>
  <c r="Q229" i="5"/>
  <c r="Q189" i="5"/>
  <c r="Q548" i="5"/>
  <c r="Q136" i="5"/>
  <c r="Q474" i="5"/>
  <c r="Q312" i="5"/>
  <c r="Q10" i="5"/>
  <c r="Q554" i="5"/>
  <c r="Q523" i="5"/>
  <c r="Q525" i="5"/>
  <c r="Q51" i="5"/>
  <c r="Q470" i="5"/>
  <c r="Q483" i="5"/>
  <c r="Q437" i="5"/>
  <c r="Q352" i="5"/>
  <c r="Q245" i="5"/>
  <c r="Q75" i="5"/>
  <c r="Q100" i="5"/>
  <c r="Q498" i="5"/>
  <c r="Q275" i="5"/>
  <c r="Q371" i="5"/>
  <c r="Q307" i="5"/>
  <c r="Q305" i="5"/>
  <c r="Q524" i="5"/>
  <c r="Q330" i="5"/>
  <c r="Q160" i="5"/>
  <c r="Q545" i="5"/>
  <c r="Q139" i="5"/>
  <c r="Q345" i="5"/>
  <c r="Q262" i="5"/>
  <c r="Q101" i="5"/>
  <c r="Q43" i="5"/>
  <c r="Q558" i="5"/>
  <c r="Q198" i="5"/>
  <c r="Q166" i="5"/>
  <c r="Q208" i="5"/>
  <c r="Q247" i="5"/>
  <c r="Q358" i="5"/>
  <c r="Q254" i="5"/>
  <c r="Q365" i="5"/>
  <c r="Q487" i="5"/>
  <c r="Q77" i="5"/>
  <c r="Q314" i="5"/>
  <c r="Q92" i="5"/>
  <c r="Q290" i="5"/>
  <c r="Q403" i="5"/>
  <c r="Q308" i="5"/>
  <c r="Q54" i="5"/>
  <c r="Q374" i="5"/>
  <c r="Q511" i="5"/>
  <c r="Q417" i="5"/>
  <c r="Q485" i="5"/>
  <c r="Q341" i="5"/>
  <c r="Q84" i="5"/>
  <c r="Q32" i="5"/>
  <c r="Q449" i="5"/>
  <c r="Q115" i="5"/>
  <c r="Q216" i="5"/>
  <c r="Q220" i="5"/>
  <c r="Q551" i="5"/>
  <c r="Q445" i="5"/>
  <c r="Q153" i="5"/>
  <c r="Q192" i="5"/>
  <c r="Q30" i="5"/>
  <c r="Q76" i="5"/>
  <c r="Q297" i="5"/>
  <c r="Q122" i="5"/>
  <c r="Q284" i="5"/>
  <c r="Q482" i="5"/>
  <c r="Q469" i="5"/>
  <c r="Q354" i="5"/>
  <c r="Q170" i="5"/>
  <c r="Q174" i="5"/>
  <c r="Q380" i="5"/>
  <c r="Q430" i="5"/>
  <c r="Q294" i="5"/>
  <c r="Q475" i="5"/>
  <c r="Q340" i="5"/>
  <c r="Q410" i="5"/>
  <c r="Q165" i="5"/>
  <c r="Q426" i="5"/>
  <c r="Q491" i="5"/>
  <c r="Q241" i="5"/>
  <c r="Q186" i="5"/>
  <c r="Q468" i="5"/>
  <c r="Q205" i="5"/>
  <c r="Q502" i="5"/>
  <c r="Q436" i="5"/>
  <c r="Q337" i="5"/>
  <c r="Q196" i="5"/>
  <c r="Q260" i="5"/>
  <c r="Q42" i="5"/>
  <c r="Q276" i="5"/>
  <c r="Q83" i="5"/>
  <c r="Q87" i="5"/>
  <c r="Q405" i="5"/>
  <c r="Q268" i="5"/>
  <c r="Q519" i="5"/>
  <c r="Q478" i="5"/>
  <c r="Q407" i="5"/>
  <c r="Q532" i="5"/>
  <c r="Q49" i="5"/>
  <c r="Q86" i="5"/>
  <c r="Q526" i="5"/>
  <c r="Q450" i="5"/>
  <c r="Q270" i="5"/>
  <c r="Q310" i="5"/>
  <c r="Q360" i="5"/>
  <c r="Q490" i="5"/>
  <c r="Q406" i="5"/>
  <c r="Q316" i="5"/>
  <c r="Q447" i="5"/>
  <c r="Q521" i="5"/>
  <c r="Q41" i="5"/>
  <c r="Q353" i="5"/>
  <c r="Q90" i="5"/>
  <c r="Q313" i="5"/>
  <c r="Q420" i="5"/>
  <c r="Q493" i="5"/>
  <c r="Q148" i="5"/>
  <c r="Q152" i="5"/>
  <c r="Q162" i="5"/>
  <c r="Q112" i="5"/>
  <c r="Q395" i="5"/>
  <c r="Q127" i="5"/>
  <c r="Q232" i="5"/>
  <c r="Q94" i="5"/>
  <c r="Q439" i="5"/>
  <c r="Q271" i="5"/>
  <c r="Q147" i="5"/>
  <c r="Q226" i="5"/>
  <c r="Q227" i="5"/>
  <c r="Q355" i="5"/>
  <c r="Q203" i="5"/>
  <c r="Q235" i="5"/>
  <c r="Q221" i="5"/>
  <c r="Q510" i="5"/>
  <c r="Q59" i="5"/>
  <c r="Q383" i="5"/>
  <c r="Q481" i="5"/>
  <c r="Q22" i="5"/>
  <c r="Q546" i="5"/>
  <c r="Q67" i="5"/>
  <c r="Q457" i="5"/>
  <c r="Q280" i="5"/>
  <c r="Q556" i="5"/>
  <c r="Q188" i="5"/>
  <c r="Q516" i="5"/>
  <c r="Q335" i="5"/>
  <c r="Q85" i="5"/>
  <c r="Q252" i="5"/>
  <c r="Q169" i="5"/>
  <c r="Q145" i="5"/>
  <c r="Q126" i="5"/>
  <c r="Q50" i="5"/>
  <c r="Q142" i="5"/>
  <c r="Q560" i="5"/>
  <c r="Q178" i="5"/>
  <c r="Q376" i="5"/>
  <c r="Q295" i="5"/>
  <c r="Q544" i="5"/>
  <c r="Q195" i="5"/>
  <c r="Q539" i="5"/>
  <c r="Q193" i="5"/>
  <c r="Q425" i="5"/>
  <c r="Q486" i="5"/>
  <c r="Q218" i="5"/>
  <c r="Q319" i="5"/>
  <c r="Q98" i="5"/>
  <c r="Q20" i="5"/>
  <c r="Q342" i="5"/>
  <c r="Q500" i="5"/>
  <c r="Q21" i="5"/>
  <c r="Q259" i="5"/>
  <c r="Q231" i="5"/>
  <c r="Q537" i="5"/>
  <c r="Q559" i="5"/>
  <c r="Q289" i="5"/>
  <c r="Q391" i="5"/>
  <c r="Q190" i="5"/>
  <c r="Q138" i="5"/>
  <c r="Q444" i="5"/>
  <c r="Q206" i="5"/>
  <c r="Q225" i="5"/>
  <c r="Q398" i="5"/>
  <c r="Q508" i="5"/>
  <c r="Q306" i="5"/>
  <c r="Q514" i="5"/>
  <c r="Q181" i="5"/>
  <c r="Q324" i="5"/>
  <c r="Q462" i="5"/>
  <c r="Q68" i="5"/>
  <c r="Q413" i="5"/>
  <c r="Q489" i="5"/>
  <c r="Q476" i="5"/>
  <c r="Q415" i="5"/>
  <c r="Q57" i="5"/>
  <c r="Q536" i="5"/>
  <c r="Q65" i="5"/>
  <c r="Q441" i="5"/>
  <c r="Q234" i="5"/>
  <c r="Q401" i="5"/>
  <c r="Q120" i="5"/>
  <c r="Q201" i="5"/>
  <c r="Q507" i="5"/>
  <c r="Q37" i="5"/>
  <c r="Q71" i="5"/>
  <c r="Q209" i="5"/>
  <c r="Q520" i="5"/>
  <c r="Q343" i="5"/>
  <c r="Q249" i="5"/>
  <c r="Q435" i="5"/>
  <c r="Q299" i="5"/>
  <c r="Q533" i="5"/>
  <c r="Q116" i="5"/>
  <c r="Q357" i="5"/>
  <c r="Q102" i="5"/>
  <c r="Q419" i="5"/>
  <c r="Q180" i="5"/>
  <c r="Q512" i="5"/>
  <c r="Q47" i="5"/>
  <c r="Q253" i="5"/>
  <c r="Q60" i="5"/>
  <c r="Q105" i="5"/>
  <c r="Q36" i="5"/>
  <c r="Q128" i="5"/>
  <c r="Q527" i="5"/>
  <c r="Q557" i="5"/>
  <c r="Q25" i="5"/>
  <c r="Q125" i="5"/>
  <c r="Q93" i="5"/>
  <c r="Q267" i="5"/>
  <c r="Q121" i="5"/>
  <c r="Q223" i="5"/>
  <c r="Q237" i="5"/>
  <c r="Q331" i="5"/>
  <c r="Q80" i="5"/>
  <c r="Q378" i="5"/>
  <c r="Q91" i="5"/>
  <c r="Q394" i="5"/>
  <c r="Q141" i="5"/>
  <c r="Q257" i="5"/>
  <c r="Q191" i="5"/>
  <c r="Q555" i="5"/>
  <c r="Q56" i="5"/>
  <c r="Q454" i="5"/>
  <c r="Q497" i="5"/>
  <c r="Q182" i="5"/>
  <c r="Q109" i="5"/>
  <c r="Q34" i="5"/>
  <c r="Q298" i="5"/>
  <c r="Q256" i="5"/>
  <c r="Q373" i="5"/>
  <c r="Q240" i="5"/>
  <c r="Q509" i="5"/>
  <c r="Q423" i="5"/>
  <c r="Q369" i="5"/>
  <c r="Q107" i="5"/>
  <c r="Q210" i="5"/>
  <c r="Q118" i="5"/>
  <c r="Q323" i="5"/>
  <c r="Q222" i="5"/>
  <c r="Q443" i="5"/>
  <c r="Q367" i="5"/>
  <c r="Q265" i="5"/>
  <c r="Q129" i="5"/>
  <c r="Q303" i="5"/>
  <c r="Q242" i="5"/>
  <c r="Q264" i="5"/>
  <c r="Q151" i="5"/>
  <c r="Q318" i="5"/>
  <c r="Q302" i="5"/>
  <c r="Q375" i="5"/>
  <c r="Q381" i="5"/>
  <c r="Q522" i="5"/>
  <c r="Q13" i="5"/>
  <c r="Q550" i="5"/>
  <c r="Q432" i="5"/>
  <c r="Q282" i="5"/>
  <c r="Q183" i="5"/>
  <c r="Q35" i="5"/>
  <c r="Q135" i="5"/>
  <c r="Q63" i="5"/>
  <c r="Q311" i="5"/>
  <c r="Q179" i="5"/>
  <c r="Q9" i="5"/>
  <c r="AQ49" i="5"/>
  <c r="BI49" i="5"/>
  <c r="AR49" i="5"/>
  <c r="AP84" i="5"/>
  <c r="AR352" i="5"/>
  <c r="AQ352" i="5"/>
  <c r="BI352" i="5"/>
  <c r="AP386" i="5"/>
  <c r="AP219" i="5"/>
  <c r="AP485" i="5"/>
  <c r="BI103" i="5"/>
  <c r="AQ103" i="5"/>
  <c r="AR103" i="5"/>
  <c r="AP151" i="5"/>
  <c r="AP73" i="5"/>
  <c r="AP372" i="5"/>
  <c r="AE108" i="4"/>
  <c r="AH108" i="4"/>
  <c r="AE150" i="4"/>
  <c r="AH150" i="4"/>
  <c r="Z150" i="4"/>
  <c r="AA150" i="4"/>
  <c r="AE57" i="4"/>
  <c r="AH57" i="4"/>
  <c r="AA70" i="4"/>
  <c r="Z70" i="4"/>
  <c r="AE70" i="4"/>
  <c r="AH70" i="4"/>
  <c r="AH148" i="4"/>
  <c r="AE148" i="4"/>
  <c r="AA84" i="4"/>
  <c r="AH84" i="4"/>
  <c r="AE84" i="4"/>
  <c r="Z84" i="4"/>
  <c r="AH144" i="4"/>
  <c r="AE144" i="4"/>
  <c r="AE128" i="4"/>
  <c r="AH128" i="4"/>
  <c r="AH106" i="4"/>
  <c r="AE106" i="4"/>
  <c r="AE88" i="4"/>
  <c r="AA88" i="4"/>
  <c r="Z88" i="4"/>
  <c r="AH88" i="4"/>
  <c r="AH140" i="4"/>
  <c r="AE140" i="4"/>
  <c r="AH20" i="4"/>
  <c r="Z20" i="4"/>
  <c r="X20" i="4" s="1"/>
  <c r="AJ20" i="4" s="1"/>
  <c r="AE20" i="4"/>
  <c r="AE135" i="4"/>
  <c r="AH135" i="4"/>
  <c r="AH55" i="4"/>
  <c r="AE55" i="4"/>
  <c r="AE105" i="4"/>
  <c r="AH105" i="4"/>
  <c r="AE130" i="4"/>
  <c r="AH130" i="4"/>
  <c r="AE43" i="4"/>
  <c r="AH43" i="4"/>
  <c r="Z43" i="4"/>
  <c r="X43" i="4" s="1"/>
  <c r="AA119" i="4"/>
  <c r="AH119" i="4"/>
  <c r="Z119" i="4"/>
  <c r="AE119" i="4"/>
  <c r="AH39" i="4"/>
  <c r="AE39" i="4"/>
  <c r="Z39" i="4"/>
  <c r="X39" i="4" s="1"/>
  <c r="AH102" i="4"/>
  <c r="AE102" i="4"/>
  <c r="AE56" i="4"/>
  <c r="AH56" i="4"/>
  <c r="Z68" i="4"/>
  <c r="AH68" i="4"/>
  <c r="AE68" i="4"/>
  <c r="AA68" i="4"/>
  <c r="AE37" i="4"/>
  <c r="AH37" i="4"/>
  <c r="Z37" i="4"/>
  <c r="X37" i="4" s="1"/>
  <c r="AH41" i="4"/>
  <c r="AE41" i="4"/>
  <c r="Z41" i="4"/>
  <c r="AE34" i="4"/>
  <c r="AH34" i="4"/>
  <c r="Z34" i="4"/>
  <c r="X34" i="4" s="1"/>
  <c r="AH113" i="4"/>
  <c r="AE113" i="4"/>
  <c r="AE109" i="4"/>
  <c r="AH109" i="4"/>
  <c r="AH136" i="4"/>
  <c r="AE136" i="4"/>
  <c r="AE129" i="4"/>
  <c r="AH129" i="4"/>
  <c r="AE98" i="4"/>
  <c r="AH98" i="4"/>
  <c r="AH64" i="4"/>
  <c r="AE64" i="4"/>
  <c r="Z64" i="4"/>
  <c r="AE146" i="4"/>
  <c r="Z146" i="4"/>
  <c r="AA146" i="4"/>
  <c r="AH146" i="4"/>
  <c r="AE85" i="4"/>
  <c r="AH85" i="4"/>
  <c r="BI559" i="5"/>
  <c r="AQ559" i="5"/>
  <c r="AR559" i="5"/>
  <c r="AP186" i="5"/>
  <c r="AP284" i="5"/>
  <c r="AP54" i="5"/>
  <c r="AP13" i="5"/>
  <c r="AQ239" i="5"/>
  <c r="AR239" i="5"/>
  <c r="BI239" i="5"/>
  <c r="AP209" i="5"/>
  <c r="AP416" i="5"/>
  <c r="AP462" i="5"/>
  <c r="AP419" i="5"/>
  <c r="AP504" i="5"/>
  <c r="AR415" i="5"/>
  <c r="AQ415" i="5"/>
  <c r="BI415" i="5"/>
  <c r="AP77" i="5"/>
  <c r="AE117" i="4"/>
  <c r="AH117" i="4"/>
  <c r="AE81" i="4"/>
  <c r="AH81" i="4"/>
  <c r="AO537" i="5"/>
  <c r="AN537" i="5"/>
  <c r="AO509" i="5"/>
  <c r="AN509" i="5"/>
  <c r="AN213" i="5"/>
  <c r="AO213" i="5"/>
  <c r="AN259" i="5"/>
  <c r="AO259" i="5"/>
  <c r="AN95" i="5"/>
  <c r="AO95" i="5"/>
  <c r="AO135" i="5"/>
  <c r="AN135" i="5"/>
  <c r="AO393" i="5"/>
  <c r="AN393" i="5"/>
  <c r="AN482" i="5"/>
  <c r="AO482" i="5"/>
  <c r="AN149" i="5"/>
  <c r="AO149" i="5"/>
  <c r="AN129" i="5"/>
  <c r="AO129" i="5"/>
  <c r="AO333" i="5"/>
  <c r="AN333" i="5"/>
  <c r="AO365" i="5"/>
  <c r="AN365" i="5"/>
  <c r="AO497" i="5"/>
  <c r="AN497" i="5"/>
  <c r="AN61" i="5"/>
  <c r="AO61" i="5"/>
  <c r="AO463" i="5"/>
  <c r="AN463" i="5"/>
  <c r="AO408" i="5"/>
  <c r="AN408" i="5"/>
  <c r="AN273" i="5"/>
  <c r="AO273" i="5"/>
  <c r="AO526" i="5"/>
  <c r="AN526" i="5"/>
  <c r="AN291" i="5"/>
  <c r="AO291" i="5"/>
  <c r="AN127" i="5"/>
  <c r="AO127" i="5"/>
  <c r="AO293" i="5"/>
  <c r="AN293" i="5"/>
  <c r="AN220" i="5"/>
  <c r="AO220" i="5"/>
  <c r="AO453" i="5"/>
  <c r="AN453" i="5"/>
  <c r="AN442" i="5"/>
  <c r="AO442" i="5"/>
  <c r="AN138" i="5"/>
  <c r="AO138" i="5"/>
  <c r="AO500" i="5"/>
  <c r="AN500" i="5"/>
  <c r="AO495" i="5"/>
  <c r="AN495" i="5"/>
  <c r="AN294" i="5"/>
  <c r="AO294" i="5"/>
  <c r="AO310" i="5"/>
  <c r="AN310" i="5"/>
  <c r="AO477" i="5"/>
  <c r="AN477" i="5"/>
  <c r="AO137" i="5"/>
  <c r="AN137" i="5"/>
  <c r="AO173" i="5"/>
  <c r="AN173" i="5"/>
  <c r="AO401" i="5"/>
  <c r="AN401" i="5"/>
  <c r="AO49" i="5"/>
  <c r="AN49" i="5"/>
  <c r="AN150" i="5"/>
  <c r="AO150" i="5"/>
  <c r="AO59" i="5"/>
  <c r="AN59" i="5"/>
  <c r="AO347" i="5"/>
  <c r="AN347" i="5"/>
  <c r="AN227" i="5"/>
  <c r="AO227" i="5"/>
  <c r="AN458" i="5"/>
  <c r="AO458" i="5"/>
  <c r="AN480" i="5"/>
  <c r="AO480" i="5"/>
  <c r="AN428" i="5"/>
  <c r="AO428" i="5"/>
  <c r="AN476" i="5"/>
  <c r="AO476" i="5"/>
  <c r="AN361" i="5"/>
  <c r="AO361" i="5"/>
  <c r="AN270" i="5"/>
  <c r="AO270" i="5"/>
  <c r="AN250" i="5"/>
  <c r="AO250" i="5"/>
  <c r="AN207" i="5"/>
  <c r="AO207" i="5"/>
  <c r="AN254" i="5"/>
  <c r="AO254" i="5"/>
  <c r="AO553" i="5"/>
  <c r="AN553" i="5"/>
  <c r="AN25" i="5"/>
  <c r="AO25" i="5"/>
  <c r="AN231" i="5"/>
  <c r="AO231" i="5"/>
  <c r="AO371" i="5"/>
  <c r="AN371" i="5"/>
  <c r="AO172" i="5"/>
  <c r="AN172" i="5"/>
  <c r="AN214" i="5"/>
  <c r="AO214" i="5"/>
  <c r="AO128" i="5"/>
  <c r="AN128" i="5"/>
  <c r="AN141" i="5"/>
  <c r="AO141" i="5"/>
  <c r="AN550" i="5"/>
  <c r="AO550" i="5"/>
  <c r="AN314" i="5"/>
  <c r="AO314" i="5"/>
  <c r="AN79" i="5"/>
  <c r="AO79" i="5"/>
  <c r="AO378" i="5"/>
  <c r="AN378" i="5"/>
  <c r="AO490" i="5"/>
  <c r="AN490" i="5"/>
  <c r="AO385" i="5"/>
  <c r="AN385" i="5"/>
  <c r="AO406" i="5"/>
  <c r="AN406" i="5"/>
  <c r="AN118" i="5"/>
  <c r="AO118" i="5"/>
  <c r="AO521" i="5"/>
  <c r="AN521" i="5"/>
  <c r="AO531" i="5"/>
  <c r="AN531" i="5"/>
  <c r="AO483" i="5"/>
  <c r="AN483" i="5"/>
  <c r="AO132" i="5"/>
  <c r="AN132" i="5"/>
  <c r="AO211" i="5"/>
  <c r="AN211" i="5"/>
  <c r="AN478" i="5"/>
  <c r="AO478" i="5"/>
  <c r="AO63" i="5"/>
  <c r="AN63" i="5"/>
  <c r="AN351" i="5"/>
  <c r="AO351" i="5"/>
  <c r="AN246" i="5"/>
  <c r="AO246" i="5"/>
  <c r="AN409" i="5"/>
  <c r="AO409" i="5"/>
  <c r="AO390" i="5"/>
  <c r="AN390" i="5"/>
  <c r="AO391" i="5"/>
  <c r="AN391" i="5"/>
  <c r="AO345" i="5"/>
  <c r="AN345" i="5"/>
  <c r="AN272" i="5"/>
  <c r="AO272" i="5"/>
  <c r="AO87" i="5"/>
  <c r="AN87" i="5"/>
  <c r="AN525" i="5"/>
  <c r="AO525" i="5"/>
  <c r="AO514" i="5"/>
  <c r="AN514" i="5"/>
  <c r="AO21" i="5"/>
  <c r="AN21" i="5"/>
  <c r="AO489" i="5"/>
  <c r="AN489" i="5"/>
  <c r="AO424" i="5"/>
  <c r="AN424" i="5"/>
  <c r="AN157" i="5"/>
  <c r="AO157" i="5"/>
  <c r="AN257" i="5"/>
  <c r="AO257" i="5"/>
  <c r="AO175" i="5"/>
  <c r="AN175" i="5"/>
  <c r="AO417" i="5"/>
  <c r="AN417" i="5"/>
  <c r="AH264" i="5"/>
  <c r="AI264" i="5"/>
  <c r="AI513" i="5"/>
  <c r="AH513" i="5"/>
  <c r="AI524" i="5"/>
  <c r="AH524" i="5"/>
  <c r="AI194" i="5"/>
  <c r="AH194" i="5"/>
  <c r="AI546" i="5"/>
  <c r="AH546" i="5"/>
  <c r="AI460" i="5"/>
  <c r="AH460" i="5"/>
  <c r="AH375" i="5"/>
  <c r="AI375" i="5"/>
  <c r="AH484" i="5"/>
  <c r="AI484" i="5"/>
  <c r="AH401" i="5"/>
  <c r="AI401" i="5"/>
  <c r="AI229" i="5"/>
  <c r="AH229" i="5"/>
  <c r="AH536" i="5"/>
  <c r="AI536" i="5"/>
  <c r="AI280" i="5"/>
  <c r="AH280" i="5"/>
  <c r="AH384" i="5"/>
  <c r="AI384" i="5"/>
  <c r="AH328" i="5"/>
  <c r="AI328" i="5"/>
  <c r="AI254" i="5"/>
  <c r="AH254" i="5"/>
  <c r="AI248" i="5"/>
  <c r="AH248" i="5"/>
  <c r="AH368" i="5"/>
  <c r="AI368" i="5"/>
  <c r="AI427" i="5"/>
  <c r="AH427" i="5"/>
  <c r="AH409" i="5"/>
  <c r="AI409" i="5"/>
  <c r="AH204" i="5"/>
  <c r="AI204" i="5"/>
  <c r="AI113" i="5"/>
  <c r="AH113" i="5"/>
  <c r="AH558" i="5"/>
  <c r="AI558" i="5"/>
  <c r="AI308" i="5"/>
  <c r="AH308" i="5"/>
  <c r="AI28" i="5"/>
  <c r="AH28" i="5"/>
  <c r="AI342" i="5"/>
  <c r="AH342" i="5"/>
  <c r="AI225" i="5"/>
  <c r="AH225" i="5"/>
  <c r="AI56" i="5"/>
  <c r="AH56" i="5"/>
  <c r="AI77" i="5"/>
  <c r="AH77" i="5"/>
  <c r="AI250" i="5"/>
  <c r="AH250" i="5"/>
  <c r="AH91" i="5"/>
  <c r="AI91" i="5"/>
  <c r="AH161" i="5"/>
  <c r="AI161" i="5"/>
  <c r="AH125" i="5"/>
  <c r="AI125" i="5"/>
  <c r="AH7" i="5"/>
  <c r="AI7" i="5"/>
  <c r="AI413" i="5"/>
  <c r="AH413" i="5"/>
  <c r="AH356" i="5"/>
  <c r="AI356" i="5"/>
  <c r="AI316" i="5"/>
  <c r="AH316" i="5"/>
  <c r="AH347" i="5"/>
  <c r="AI347" i="5"/>
  <c r="AI255" i="5"/>
  <c r="AH255" i="5"/>
  <c r="AH327" i="5"/>
  <c r="AI327" i="5"/>
  <c r="AH242" i="5"/>
  <c r="AI242" i="5"/>
  <c r="AI57" i="5"/>
  <c r="AH57" i="5"/>
  <c r="AH523" i="5"/>
  <c r="AI523" i="5"/>
  <c r="AI294" i="5"/>
  <c r="AH294" i="5"/>
  <c r="AH381" i="5"/>
  <c r="AI381" i="5"/>
  <c r="AH102" i="5"/>
  <c r="AI102" i="5"/>
  <c r="AI123" i="5"/>
  <c r="AH123" i="5"/>
  <c r="AH300" i="5"/>
  <c r="AI300" i="5"/>
  <c r="AH320" i="5"/>
  <c r="AI320" i="5"/>
  <c r="AI392" i="5"/>
  <c r="AH392" i="5"/>
  <c r="AI337" i="5"/>
  <c r="AH337" i="5"/>
  <c r="AH60" i="5"/>
  <c r="AI60" i="5"/>
  <c r="AI429" i="5"/>
  <c r="AH429" i="5"/>
  <c r="AH37" i="5"/>
  <c r="AI37" i="5"/>
  <c r="AH553" i="5"/>
  <c r="AI553" i="5"/>
  <c r="AI457" i="5"/>
  <c r="AH457" i="5"/>
  <c r="AH543" i="5"/>
  <c r="AI543" i="5"/>
  <c r="AI314" i="5"/>
  <c r="AH314" i="5"/>
  <c r="AH430" i="5"/>
  <c r="AI430" i="5"/>
  <c r="AH45" i="5"/>
  <c r="AI45" i="5"/>
  <c r="AI410" i="5"/>
  <c r="AH410" i="5"/>
  <c r="AH495" i="5"/>
  <c r="AI495" i="5"/>
  <c r="AH494" i="5"/>
  <c r="AI494" i="5"/>
  <c r="AI422" i="5"/>
  <c r="AH422" i="5"/>
  <c r="AI61" i="5"/>
  <c r="AH61" i="5"/>
  <c r="AH540" i="5"/>
  <c r="AI540" i="5"/>
  <c r="AH120" i="5"/>
  <c r="AI120" i="5"/>
  <c r="AI33" i="5"/>
  <c r="AH33" i="5"/>
  <c r="AH396" i="5"/>
  <c r="AI396" i="5"/>
  <c r="AI262" i="5"/>
  <c r="AH262" i="5"/>
  <c r="AI55" i="5"/>
  <c r="AH55" i="5"/>
  <c r="AI527" i="5"/>
  <c r="AH527" i="5"/>
  <c r="AI271" i="5"/>
  <c r="AH271" i="5"/>
  <c r="AH366" i="5"/>
  <c r="AI366" i="5"/>
  <c r="AI334" i="5"/>
  <c r="AH334" i="5"/>
  <c r="AH188" i="5"/>
  <c r="AI188" i="5"/>
  <c r="AH12" i="5"/>
  <c r="AI12" i="5"/>
  <c r="AH79" i="5"/>
  <c r="AI79" i="5"/>
  <c r="AH107" i="5"/>
  <c r="AI107" i="5"/>
  <c r="AI349" i="5"/>
  <c r="AH349" i="5"/>
  <c r="AH171" i="5"/>
  <c r="AI171" i="5"/>
  <c r="AH329" i="5"/>
  <c r="AI329" i="5"/>
  <c r="AI505" i="5"/>
  <c r="AH505" i="5"/>
  <c r="AI258" i="5"/>
  <c r="AH258" i="5"/>
  <c r="AH322" i="5"/>
  <c r="AI322" i="5"/>
  <c r="AI530" i="5"/>
  <c r="AH530" i="5"/>
  <c r="AI154" i="5"/>
  <c r="AH154" i="5"/>
  <c r="AI276" i="5"/>
  <c r="AH276" i="5"/>
  <c r="AI340" i="5"/>
  <c r="AH340" i="5"/>
  <c r="AI76" i="5"/>
  <c r="AH76" i="5"/>
  <c r="AI395" i="5"/>
  <c r="AH395" i="5"/>
  <c r="AI514" i="5"/>
  <c r="AH514" i="5"/>
  <c r="AH369" i="5"/>
  <c r="AI369" i="5"/>
  <c r="AH25" i="5"/>
  <c r="AI25" i="5"/>
  <c r="AH491" i="5"/>
  <c r="AI491" i="5"/>
  <c r="AH353" i="5"/>
  <c r="AI353" i="5"/>
  <c r="AH531" i="5"/>
  <c r="AI531" i="5"/>
  <c r="AH115" i="5"/>
  <c r="AI115" i="5"/>
  <c r="AI93" i="5"/>
  <c r="AH93" i="5"/>
  <c r="AH552" i="5"/>
  <c r="AI552" i="5"/>
  <c r="AI345" i="5"/>
  <c r="AH345" i="5"/>
  <c r="AI111" i="5"/>
  <c r="AH111" i="5"/>
  <c r="AI503" i="5"/>
  <c r="AH503" i="5"/>
  <c r="AH295" i="5"/>
  <c r="AI295" i="5"/>
  <c r="AH211" i="5"/>
  <c r="AI211" i="5"/>
  <c r="AH97" i="5"/>
  <c r="AI97" i="5"/>
  <c r="AH325" i="5"/>
  <c r="AI325" i="5"/>
  <c r="AI390" i="5"/>
  <c r="AH390" i="5"/>
  <c r="AH436" i="5"/>
  <c r="AI436" i="5"/>
  <c r="AH547" i="5"/>
  <c r="AI547" i="5"/>
  <c r="AI75" i="5"/>
  <c r="AH75" i="5"/>
  <c r="AI142" i="5"/>
  <c r="AH142" i="5"/>
  <c r="AH47" i="5"/>
  <c r="AI47" i="5"/>
  <c r="AH205" i="5"/>
  <c r="AI205" i="5"/>
  <c r="AI542" i="5"/>
  <c r="AH542" i="5"/>
  <c r="AI73" i="5"/>
  <c r="AH73" i="5"/>
  <c r="AI555" i="5"/>
  <c r="AH555" i="5"/>
  <c r="AH348" i="5"/>
  <c r="AI348" i="5"/>
  <c r="AH144" i="5"/>
  <c r="AI144" i="5"/>
  <c r="AI441" i="5"/>
  <c r="AH441" i="5"/>
  <c r="AI71" i="5"/>
  <c r="AH71" i="5"/>
  <c r="AI46" i="5"/>
  <c r="AH46" i="5"/>
  <c r="AH383" i="5"/>
  <c r="AI383" i="5"/>
  <c r="AH266" i="5"/>
  <c r="AI266" i="5"/>
  <c r="AI360" i="5"/>
  <c r="AH360" i="5"/>
  <c r="AI219" i="5"/>
  <c r="AH219" i="5"/>
  <c r="AH377" i="5"/>
  <c r="AI377" i="5"/>
  <c r="AH22" i="5"/>
  <c r="AI22" i="5"/>
  <c r="AH170" i="5"/>
  <c r="AI170" i="5"/>
  <c r="AH94" i="5"/>
  <c r="AI94" i="5"/>
  <c r="AI89" i="5"/>
  <c r="AH89" i="5"/>
  <c r="AI84" i="5"/>
  <c r="AH84" i="5"/>
  <c r="AH29" i="5"/>
  <c r="AI29" i="5"/>
  <c r="AI165" i="5"/>
  <c r="AH165" i="5"/>
  <c r="AH463" i="5"/>
  <c r="AI463" i="5"/>
  <c r="AH324" i="5"/>
  <c r="AI324" i="5"/>
  <c r="AI181" i="5"/>
  <c r="AH181" i="5"/>
  <c r="AH12" i="4"/>
  <c r="AE12" i="4"/>
  <c r="Z12" i="4"/>
  <c r="X12" i="4" s="1"/>
  <c r="AJ12" i="4" s="1"/>
  <c r="AH71" i="4"/>
  <c r="Z71" i="4"/>
  <c r="AE71" i="4"/>
  <c r="AA71" i="4"/>
  <c r="AE49" i="4"/>
  <c r="Z49" i="4"/>
  <c r="AH49" i="4"/>
  <c r="Z157" i="4"/>
  <c r="AN157" i="4" s="1"/>
  <c r="AH157" i="4"/>
  <c r="AE157" i="4"/>
  <c r="AA157" i="4"/>
  <c r="AH155" i="4"/>
  <c r="AE155" i="4"/>
  <c r="AH73" i="4"/>
  <c r="AE73" i="4"/>
  <c r="AH152" i="4"/>
  <c r="AE152" i="4"/>
  <c r="AE124" i="4"/>
  <c r="AH124" i="4"/>
  <c r="AH26" i="4"/>
  <c r="AE26" i="4"/>
  <c r="Z26" i="4"/>
  <c r="AE110" i="4"/>
  <c r="AH110" i="4"/>
  <c r="AH123" i="4"/>
  <c r="AE123" i="4"/>
  <c r="AE60" i="4"/>
  <c r="AH60" i="4"/>
  <c r="AE58" i="4"/>
  <c r="AH58" i="4"/>
  <c r="AE153" i="4"/>
  <c r="AA153" i="4"/>
  <c r="Z153" i="4"/>
  <c r="AH153" i="4"/>
  <c r="AE149" i="4"/>
  <c r="AH149" i="4"/>
  <c r="AH66" i="4"/>
  <c r="AE66" i="4"/>
  <c r="AH23" i="4"/>
  <c r="AE23" i="4"/>
  <c r="Z23" i="4"/>
  <c r="X23" i="4" s="1"/>
  <c r="AJ23" i="4" s="1"/>
  <c r="AE112" i="4"/>
  <c r="AH112" i="4"/>
  <c r="AH131" i="4"/>
  <c r="AE131" i="4"/>
  <c r="AE36" i="4"/>
  <c r="Z36" i="4"/>
  <c r="AH36" i="4"/>
  <c r="AH14" i="4"/>
  <c r="AE14" i="4"/>
  <c r="Z14" i="4"/>
  <c r="X14" i="4" s="1"/>
  <c r="AJ14" i="4" s="1"/>
  <c r="AE42" i="4"/>
  <c r="AH42" i="4"/>
  <c r="Z42" i="4"/>
  <c r="AE32" i="4"/>
  <c r="Z32" i="4"/>
  <c r="AH32" i="4"/>
  <c r="AE72" i="4"/>
  <c r="AH72" i="4"/>
  <c r="Z72" i="4"/>
  <c r="AA72" i="4"/>
  <c r="AH116" i="4"/>
  <c r="AE116" i="4"/>
  <c r="AP267" i="5"/>
  <c r="AP148" i="5"/>
  <c r="AP452" i="5"/>
  <c r="AP33" i="5"/>
  <c r="AP497" i="5"/>
  <c r="AP9" i="5"/>
  <c r="AH67" i="4"/>
  <c r="AE67" i="4"/>
  <c r="AH31" i="4"/>
  <c r="Z31" i="4"/>
  <c r="X31" i="4" s="1"/>
  <c r="AE31" i="4"/>
  <c r="AH145" i="4"/>
  <c r="AE145" i="4"/>
  <c r="AE93" i="4"/>
  <c r="AH93" i="4"/>
  <c r="AH59" i="4"/>
  <c r="AE59" i="4"/>
  <c r="AE94" i="4"/>
  <c r="AH94" i="4"/>
  <c r="AH121" i="4"/>
  <c r="AE121" i="4"/>
  <c r="AE126" i="4"/>
  <c r="AH126" i="4"/>
  <c r="AE74" i="4"/>
  <c r="AH74" i="4"/>
  <c r="AE83" i="4"/>
  <c r="Z83" i="4"/>
  <c r="AA83" i="4"/>
  <c r="AH83" i="4"/>
  <c r="AH79" i="4"/>
  <c r="AE79" i="4"/>
  <c r="AX9" i="5"/>
  <c r="AY9" i="5"/>
  <c r="AO560" i="5"/>
  <c r="AN560" i="5"/>
  <c r="AO451" i="5"/>
  <c r="AN451" i="5"/>
  <c r="AN274" i="5"/>
  <c r="AO274" i="5"/>
  <c r="AO190" i="5"/>
  <c r="AN190" i="5"/>
  <c r="AO377" i="5"/>
  <c r="AN377" i="5"/>
  <c r="AO308" i="5"/>
  <c r="AN308" i="5"/>
  <c r="AN222" i="5"/>
  <c r="AO222" i="5"/>
  <c r="AO412" i="5"/>
  <c r="AN412" i="5"/>
  <c r="AO375" i="5"/>
  <c r="AN375" i="5"/>
  <c r="AN494" i="5"/>
  <c r="AO494" i="5"/>
  <c r="AO140" i="5"/>
  <c r="AN140" i="5"/>
  <c r="AO329" i="5"/>
  <c r="AN329" i="5"/>
  <c r="AO241" i="5"/>
  <c r="AN241" i="5"/>
  <c r="AO474" i="5"/>
  <c r="AN474" i="5"/>
  <c r="AO38" i="5"/>
  <c r="AN38" i="5"/>
  <c r="AN28" i="5"/>
  <c r="AO28" i="5"/>
  <c r="AN295" i="5"/>
  <c r="AO295" i="5"/>
  <c r="AO450" i="5"/>
  <c r="AN450" i="5"/>
  <c r="AO193" i="5"/>
  <c r="AN193" i="5"/>
  <c r="AN275" i="5"/>
  <c r="AO275" i="5"/>
  <c r="AN160" i="5"/>
  <c r="AO160" i="5"/>
  <c r="AO353" i="5"/>
  <c r="AN353" i="5"/>
  <c r="AN178" i="5"/>
  <c r="AO178" i="5"/>
  <c r="AO454" i="5"/>
  <c r="AN454" i="5"/>
  <c r="AO432" i="5"/>
  <c r="AN432" i="5"/>
  <c r="AN153" i="5"/>
  <c r="AO153" i="5"/>
  <c r="AO225" i="5"/>
  <c r="AN225" i="5"/>
  <c r="AN189" i="5"/>
  <c r="AO189" i="5"/>
  <c r="AO535" i="5"/>
  <c r="AN535" i="5"/>
  <c r="AN438" i="5"/>
  <c r="AO438" i="5"/>
  <c r="AO358" i="5"/>
  <c r="AN358" i="5"/>
  <c r="AO515" i="5"/>
  <c r="AN515" i="5"/>
  <c r="AN413" i="5"/>
  <c r="AO413" i="5"/>
  <c r="AO244" i="5"/>
  <c r="AN244" i="5"/>
  <c r="AN196" i="5"/>
  <c r="AO196" i="5"/>
  <c r="AN170" i="5"/>
  <c r="AO170" i="5"/>
  <c r="AO108" i="5"/>
  <c r="AN108" i="5"/>
  <c r="AO144" i="5"/>
  <c r="AN144" i="5"/>
  <c r="AO325" i="5"/>
  <c r="AN325" i="5"/>
  <c r="AO536" i="5"/>
  <c r="AN536" i="5"/>
  <c r="AN107" i="5"/>
  <c r="AO107" i="5"/>
  <c r="AO383" i="5"/>
  <c r="AN383" i="5"/>
  <c r="AO387" i="5"/>
  <c r="AN387" i="5"/>
  <c r="AN327" i="5"/>
  <c r="AO327" i="5"/>
  <c r="AN105" i="5"/>
  <c r="AO105" i="5"/>
  <c r="AO26" i="5"/>
  <c r="AN26" i="5"/>
  <c r="AN517" i="5"/>
  <c r="AO517" i="5"/>
  <c r="AO236" i="5"/>
  <c r="AN236" i="5"/>
  <c r="AO548" i="5"/>
  <c r="AN548" i="5"/>
  <c r="AN81" i="5"/>
  <c r="AO81" i="5"/>
  <c r="AN39" i="5"/>
  <c r="AO39" i="5"/>
  <c r="AO243" i="5"/>
  <c r="AN243" i="5"/>
  <c r="AO287" i="5"/>
  <c r="AN287" i="5"/>
  <c r="AN348" i="5"/>
  <c r="AO348" i="5"/>
  <c r="AO194" i="5"/>
  <c r="AN194" i="5"/>
  <c r="AO459" i="5"/>
  <c r="AN459" i="5"/>
  <c r="AO337" i="5"/>
  <c r="AN337" i="5"/>
  <c r="AO366" i="5"/>
  <c r="AN366" i="5"/>
  <c r="AN354" i="5"/>
  <c r="AO354" i="5"/>
  <c r="AO426" i="5"/>
  <c r="AN426" i="5"/>
  <c r="AO82" i="5"/>
  <c r="AN82" i="5"/>
  <c r="AO42" i="5"/>
  <c r="AN42" i="5"/>
  <c r="AO120" i="5"/>
  <c r="AN120" i="5"/>
  <c r="AN230" i="5"/>
  <c r="AO230" i="5"/>
  <c r="AO469" i="5"/>
  <c r="AN469" i="5"/>
  <c r="AO309" i="5"/>
  <c r="AN309" i="5"/>
  <c r="AO292" i="5"/>
  <c r="AN292" i="5"/>
  <c r="AN382" i="5"/>
  <c r="AO382" i="5"/>
  <c r="AO27" i="5"/>
  <c r="AN27" i="5"/>
  <c r="AO163" i="5"/>
  <c r="AN163" i="5"/>
  <c r="AO389" i="5"/>
  <c r="AN389" i="5"/>
  <c r="AN356" i="5"/>
  <c r="AO356" i="5"/>
  <c r="AN115" i="5"/>
  <c r="AO115" i="5"/>
  <c r="AN559" i="5"/>
  <c r="AO559" i="5"/>
  <c r="AN229" i="5"/>
  <c r="AO229" i="5"/>
  <c r="AO461" i="5"/>
  <c r="AN461" i="5"/>
  <c r="AN45" i="5"/>
  <c r="AO45" i="5"/>
  <c r="AN113" i="5"/>
  <c r="AO113" i="5"/>
  <c r="AO403" i="5"/>
  <c r="AN403" i="5"/>
  <c r="AN496" i="5"/>
  <c r="AO496" i="5"/>
  <c r="AO399" i="5"/>
  <c r="AN399" i="5"/>
  <c r="AO234" i="5"/>
  <c r="AN234" i="5"/>
  <c r="AO472" i="5"/>
  <c r="AN472" i="5"/>
  <c r="AN44" i="5"/>
  <c r="AO44" i="5"/>
  <c r="AN367" i="5"/>
  <c r="AO367" i="5"/>
  <c r="AN506" i="5"/>
  <c r="AO506" i="5"/>
  <c r="AN208" i="5"/>
  <c r="AO208" i="5"/>
  <c r="AN465" i="5"/>
  <c r="AO465" i="5"/>
  <c r="AO511" i="5"/>
  <c r="AN511" i="5"/>
  <c r="AO256" i="5"/>
  <c r="AN256" i="5"/>
  <c r="AN197" i="5"/>
  <c r="AO197" i="5"/>
  <c r="AO122" i="5"/>
  <c r="AN122" i="5"/>
  <c r="AN436" i="5"/>
  <c r="AO436" i="5"/>
  <c r="AO167" i="5"/>
  <c r="AN167" i="5"/>
  <c r="AN76" i="5"/>
  <c r="AO76" i="5"/>
  <c r="AO341" i="5"/>
  <c r="AN341" i="5"/>
  <c r="AN86" i="5"/>
  <c r="AO86" i="5"/>
  <c r="AO210" i="5"/>
  <c r="AN210" i="5"/>
  <c r="AN305" i="5"/>
  <c r="AO305" i="5"/>
  <c r="AO57" i="5"/>
  <c r="AN57" i="5"/>
  <c r="AN83" i="5"/>
  <c r="AO83" i="5"/>
  <c r="AO268" i="5"/>
  <c r="AN268" i="5"/>
  <c r="AO117" i="5"/>
  <c r="AN117" i="5"/>
  <c r="AN156" i="5"/>
  <c r="AO156" i="5"/>
  <c r="AN285" i="5"/>
  <c r="AO285" i="5"/>
  <c r="AN414" i="5"/>
  <c r="AO414" i="5"/>
  <c r="AO518" i="5"/>
  <c r="AN518" i="5"/>
  <c r="AN74" i="5"/>
  <c r="AO74" i="5"/>
  <c r="AN443" i="5"/>
  <c r="AO443" i="5"/>
  <c r="AN242" i="5"/>
  <c r="AO242" i="5"/>
  <c r="AO507" i="5"/>
  <c r="AN507" i="5"/>
  <c r="AO71" i="5"/>
  <c r="AN71" i="5"/>
  <c r="AN282" i="5"/>
  <c r="AO282" i="5"/>
  <c r="AO201" i="5"/>
  <c r="AN201" i="5"/>
  <c r="AN445" i="5"/>
  <c r="AO445" i="5"/>
  <c r="AN277" i="5"/>
  <c r="AO277" i="5"/>
  <c r="AN133" i="5"/>
  <c r="AO133" i="5"/>
  <c r="AO31" i="5"/>
  <c r="AN31" i="5"/>
  <c r="AO171" i="5"/>
  <c r="AN171" i="5"/>
  <c r="AN48" i="5"/>
  <c r="AO48" i="5"/>
  <c r="AN539" i="5"/>
  <c r="AO539" i="5"/>
  <c r="AO224" i="5"/>
  <c r="AN224" i="5"/>
  <c r="AN124" i="5"/>
  <c r="AO124" i="5"/>
  <c r="AN374" i="5"/>
  <c r="AO374" i="5"/>
  <c r="AO380" i="5"/>
  <c r="AN380" i="5"/>
  <c r="AO182" i="5"/>
  <c r="AN182" i="5"/>
  <c r="AN418" i="5"/>
  <c r="AO418" i="5"/>
  <c r="AN226" i="5"/>
  <c r="AO226" i="5"/>
  <c r="AO376" i="5"/>
  <c r="AN376" i="5"/>
  <c r="AN288" i="5"/>
  <c r="AO288" i="5"/>
  <c r="AN546" i="5"/>
  <c r="AO546" i="5"/>
  <c r="AN322" i="5"/>
  <c r="AO322" i="5"/>
  <c r="AN429" i="5"/>
  <c r="AO429" i="5"/>
  <c r="AN139" i="5"/>
  <c r="AO139" i="5"/>
  <c r="AN373" i="5"/>
  <c r="AO373" i="5"/>
  <c r="AO467" i="5"/>
  <c r="AN467" i="5"/>
  <c r="AO430" i="5"/>
  <c r="AN430" i="5"/>
  <c r="AH216" i="5"/>
  <c r="AI216" i="5"/>
  <c r="AH424" i="5"/>
  <c r="AI424" i="5"/>
  <c r="AH51" i="5"/>
  <c r="AI51" i="5"/>
  <c r="AH286" i="5"/>
  <c r="AI286" i="5"/>
  <c r="AI417" i="5"/>
  <c r="AH417" i="5"/>
  <c r="AI421" i="5"/>
  <c r="AH421" i="5"/>
  <c r="AH414" i="5"/>
  <c r="AI414" i="5"/>
  <c r="AH550" i="5"/>
  <c r="AI550" i="5"/>
  <c r="AI464" i="5"/>
  <c r="AH464" i="5"/>
  <c r="AH406" i="5"/>
  <c r="AI406" i="5"/>
  <c r="AH198" i="5"/>
  <c r="AI198" i="5"/>
  <c r="AI31" i="5"/>
  <c r="AH31" i="5"/>
  <c r="AH74" i="5"/>
  <c r="AI74" i="5"/>
  <c r="AI549" i="5"/>
  <c r="AH549" i="5"/>
  <c r="AI385" i="5"/>
  <c r="AH385" i="5"/>
  <c r="AI23" i="5"/>
  <c r="AH23" i="5"/>
  <c r="AI265" i="5"/>
  <c r="AH265" i="5"/>
  <c r="AH296" i="5"/>
  <c r="AI296" i="5"/>
  <c r="AH548" i="5"/>
  <c r="AI548" i="5"/>
  <c r="AH358" i="5"/>
  <c r="AI358" i="5"/>
  <c r="AH212" i="5"/>
  <c r="AI212" i="5"/>
  <c r="AI103" i="5"/>
  <c r="AH103" i="5"/>
  <c r="AH268" i="5"/>
  <c r="AI268" i="5"/>
  <c r="AH152" i="5"/>
  <c r="AI152" i="5"/>
  <c r="AH518" i="5"/>
  <c r="AI518" i="5"/>
  <c r="AI178" i="5"/>
  <c r="AH178" i="5"/>
  <c r="AH78" i="5"/>
  <c r="AI78" i="5"/>
  <c r="AI291" i="5"/>
  <c r="AH291" i="5"/>
  <c r="AH389" i="5"/>
  <c r="AI389" i="5"/>
  <c r="AH69" i="5"/>
  <c r="AI69" i="5"/>
  <c r="AH283" i="5"/>
  <c r="AI283" i="5"/>
  <c r="AI50" i="5"/>
  <c r="AH50" i="5"/>
  <c r="AI174" i="5"/>
  <c r="AH174" i="5"/>
  <c r="AH146" i="5"/>
  <c r="AI146" i="5"/>
  <c r="AI499" i="5"/>
  <c r="AH499" i="5"/>
  <c r="AI382" i="5"/>
  <c r="AH382" i="5"/>
  <c r="AI63" i="5"/>
  <c r="AH63" i="5"/>
  <c r="AH319" i="5"/>
  <c r="AI319" i="5"/>
  <c r="AI59" i="5"/>
  <c r="AH59" i="5"/>
  <c r="AH10" i="5"/>
  <c r="AI10" i="5"/>
  <c r="AI253" i="5"/>
  <c r="AH253" i="5"/>
  <c r="AI317" i="5"/>
  <c r="AH317" i="5"/>
  <c r="AI462" i="5"/>
  <c r="AH462" i="5"/>
  <c r="AI425" i="5"/>
  <c r="AH425" i="5"/>
  <c r="AI87" i="5"/>
  <c r="AH87" i="5"/>
  <c r="AI447" i="5"/>
  <c r="AH447" i="5"/>
  <c r="AI21" i="5"/>
  <c r="AH21" i="5"/>
  <c r="AH493" i="5"/>
  <c r="AI493" i="5"/>
  <c r="AH519" i="5"/>
  <c r="AI519" i="5"/>
  <c r="AI43" i="5"/>
  <c r="AH43" i="5"/>
  <c r="AH36" i="5"/>
  <c r="AI36" i="5"/>
  <c r="AI239" i="5"/>
  <c r="AH239" i="5"/>
  <c r="AI233" i="5"/>
  <c r="AH233" i="5"/>
  <c r="AH405" i="5"/>
  <c r="AI405" i="5"/>
  <c r="AH48" i="5"/>
  <c r="AI48" i="5"/>
  <c r="AH136" i="5"/>
  <c r="AI136" i="5"/>
  <c r="AH208" i="5"/>
  <c r="AI208" i="5"/>
  <c r="AH82" i="5"/>
  <c r="AI82" i="5"/>
  <c r="AH354" i="5"/>
  <c r="AI354" i="5"/>
  <c r="AH259" i="5"/>
  <c r="AI259" i="5"/>
  <c r="AH34" i="5"/>
  <c r="AI34" i="5"/>
  <c r="AH292" i="5"/>
  <c r="AI292" i="5"/>
  <c r="AH439" i="5"/>
  <c r="AI439" i="5"/>
  <c r="AH189" i="5"/>
  <c r="AI189" i="5"/>
  <c r="AI560" i="5"/>
  <c r="AH560" i="5"/>
  <c r="AI230" i="5"/>
  <c r="AH230" i="5"/>
  <c r="AH121" i="5"/>
  <c r="AI121" i="5"/>
  <c r="AH541" i="5"/>
  <c r="AI541" i="5"/>
  <c r="AI408" i="5"/>
  <c r="AH408" i="5"/>
  <c r="AH330" i="5"/>
  <c r="AI330" i="5"/>
  <c r="AH41" i="5"/>
  <c r="AI41" i="5"/>
  <c r="AI391" i="5"/>
  <c r="AH391" i="5"/>
  <c r="AH244" i="5"/>
  <c r="AI244" i="5"/>
  <c r="AI166" i="5"/>
  <c r="AH166" i="5"/>
  <c r="AI282" i="5"/>
  <c r="AH282" i="5"/>
  <c r="AI100" i="5"/>
  <c r="AH100" i="5"/>
  <c r="AI221" i="5"/>
  <c r="AH221" i="5"/>
  <c r="AH433" i="5"/>
  <c r="AI433" i="5"/>
  <c r="AI273" i="5"/>
  <c r="AH273" i="5"/>
  <c r="AH278" i="5"/>
  <c r="AI278" i="5"/>
  <c r="AI177" i="5"/>
  <c r="AH177" i="5"/>
  <c r="AI285" i="5"/>
  <c r="AH285" i="5"/>
  <c r="AI465" i="5"/>
  <c r="AH465" i="5"/>
  <c r="AH306" i="5"/>
  <c r="AI306" i="5"/>
  <c r="AI372" i="5"/>
  <c r="AH372" i="5"/>
  <c r="AI399" i="5"/>
  <c r="AH399" i="5"/>
  <c r="AH318" i="5"/>
  <c r="AI318" i="5"/>
  <c r="AH106" i="5"/>
  <c r="AI106" i="5"/>
  <c r="AH478" i="5"/>
  <c r="AI478" i="5"/>
  <c r="AH466" i="5"/>
  <c r="AI466" i="5"/>
  <c r="AH434" i="5"/>
  <c r="AI434" i="5"/>
  <c r="AH556" i="5"/>
  <c r="AI556" i="5"/>
  <c r="AI394" i="5"/>
  <c r="AH394" i="5"/>
  <c r="AI235" i="5"/>
  <c r="AH235" i="5"/>
  <c r="AH445" i="5"/>
  <c r="AI445" i="5"/>
  <c r="AH476" i="5"/>
  <c r="AI476" i="5"/>
  <c r="AI80" i="5"/>
  <c r="AH80" i="5"/>
  <c r="AH498" i="5"/>
  <c r="AI498" i="5"/>
  <c r="AI105" i="5"/>
  <c r="AH105" i="5"/>
  <c r="AI241" i="5"/>
  <c r="AH241" i="5"/>
  <c r="AI131" i="5"/>
  <c r="AH131" i="5"/>
  <c r="AI42" i="5"/>
  <c r="AH42" i="5"/>
  <c r="AI412" i="5"/>
  <c r="AH412" i="5"/>
  <c r="AI303" i="5"/>
  <c r="AH303" i="5"/>
  <c r="AI453" i="5"/>
  <c r="AH453" i="5"/>
  <c r="AI365" i="5"/>
  <c r="AH365" i="5"/>
  <c r="AH336" i="5"/>
  <c r="AI336" i="5"/>
  <c r="AI437" i="5"/>
  <c r="AH437" i="5"/>
  <c r="AH224" i="5"/>
  <c r="AI224" i="5"/>
  <c r="AH187" i="5"/>
  <c r="AI187" i="5"/>
  <c r="AH361" i="5"/>
  <c r="AI361" i="5"/>
  <c r="AI290" i="5"/>
  <c r="AH290" i="5"/>
  <c r="AI467" i="5"/>
  <c r="AH467" i="5"/>
  <c r="AH504" i="5"/>
  <c r="AI504" i="5"/>
  <c r="AH521" i="5"/>
  <c r="AI521" i="5"/>
  <c r="AI344" i="5"/>
  <c r="AH344" i="5"/>
  <c r="AH407" i="5"/>
  <c r="AI407" i="5"/>
  <c r="AH506" i="5"/>
  <c r="AI506" i="5"/>
  <c r="AH331" i="5"/>
  <c r="AI331" i="5"/>
  <c r="AH81" i="5"/>
  <c r="AI81" i="5"/>
  <c r="AH510" i="5"/>
  <c r="AI510" i="5"/>
  <c r="AH364" i="5"/>
  <c r="AI364" i="5"/>
  <c r="AI269" i="5"/>
  <c r="AH269" i="5"/>
  <c r="AH143" i="5"/>
  <c r="AI143" i="5"/>
  <c r="AI355" i="5"/>
  <c r="AH355" i="5"/>
  <c r="AH66" i="5"/>
  <c r="AI66" i="5"/>
  <c r="AI378" i="5"/>
  <c r="AH378" i="5"/>
  <c r="AH321" i="5"/>
  <c r="AI321" i="5"/>
  <c r="AI483" i="5"/>
  <c r="AH483" i="5"/>
  <c r="AH274" i="5"/>
  <c r="AI274" i="5"/>
  <c r="AI213" i="5"/>
  <c r="AH213" i="5"/>
  <c r="AI298" i="5"/>
  <c r="AH298" i="5"/>
  <c r="AI192" i="5"/>
  <c r="AH192" i="5"/>
  <c r="AH164" i="5"/>
  <c r="AI164" i="5"/>
  <c r="AI158" i="5"/>
  <c r="AH158" i="5"/>
  <c r="AH367" i="5"/>
  <c r="AI367" i="5"/>
  <c r="AI393" i="5"/>
  <c r="AH393" i="5"/>
  <c r="AE101" i="4"/>
  <c r="AH101" i="4"/>
  <c r="AH7" i="4"/>
  <c r="AE7" i="4"/>
  <c r="Z7" i="4"/>
  <c r="X7" i="4" s="1"/>
  <c r="AJ7" i="4" s="1"/>
  <c r="AO9" i="5"/>
  <c r="AN9" i="5"/>
  <c r="AA9" i="5"/>
  <c r="AB9" i="5"/>
  <c r="U9" i="5"/>
  <c r="V9" i="5"/>
  <c r="AO78" i="5"/>
  <c r="AN78" i="5"/>
  <c r="AO551" i="5"/>
  <c r="AN551" i="5"/>
  <c r="AN251" i="5"/>
  <c r="AO251" i="5"/>
  <c r="AN104" i="5"/>
  <c r="AO104" i="5"/>
  <c r="AN355" i="5"/>
  <c r="AO355" i="5"/>
  <c r="AO162" i="5"/>
  <c r="AN162" i="5"/>
  <c r="AO200" i="5"/>
  <c r="AN200" i="5"/>
  <c r="AN30" i="5"/>
  <c r="AO30" i="5"/>
  <c r="AO62" i="5"/>
  <c r="AN62" i="5"/>
  <c r="AO41" i="5"/>
  <c r="AN41" i="5"/>
  <c r="AO452" i="5"/>
  <c r="AN452" i="5"/>
  <c r="AO265" i="5"/>
  <c r="AN265" i="5"/>
  <c r="AN143" i="5"/>
  <c r="AO143" i="5"/>
  <c r="AO72" i="5"/>
  <c r="AN72" i="5"/>
  <c r="AO164" i="5"/>
  <c r="AN164" i="5"/>
  <c r="AO152" i="5"/>
  <c r="AN152" i="5"/>
  <c r="AO312" i="5"/>
  <c r="AN312" i="5"/>
  <c r="AO448" i="5"/>
  <c r="AN448" i="5"/>
  <c r="AN479" i="5"/>
  <c r="AO479" i="5"/>
  <c r="AN276" i="5"/>
  <c r="AO276" i="5"/>
  <c r="AN425" i="5"/>
  <c r="AO425" i="5"/>
  <c r="AO313" i="5"/>
  <c r="AN313" i="5"/>
  <c r="AO195" i="5"/>
  <c r="AN195" i="5"/>
  <c r="AO69" i="5"/>
  <c r="AN69" i="5"/>
  <c r="AN281" i="5"/>
  <c r="AO281" i="5"/>
  <c r="AO326" i="5"/>
  <c r="AN326" i="5"/>
  <c r="AN301" i="5"/>
  <c r="AO301" i="5"/>
  <c r="AO98" i="5"/>
  <c r="AN98" i="5"/>
  <c r="AN311" i="5"/>
  <c r="AO311" i="5"/>
  <c r="AN547" i="5"/>
  <c r="AO547" i="5"/>
  <c r="AO402" i="5"/>
  <c r="AN402" i="5"/>
  <c r="AN334" i="5"/>
  <c r="AO334" i="5"/>
  <c r="AN318" i="5"/>
  <c r="AO318" i="5"/>
  <c r="AO290" i="5"/>
  <c r="AN290" i="5"/>
  <c r="AN552" i="5"/>
  <c r="AO552" i="5"/>
  <c r="AO249" i="5"/>
  <c r="AN249" i="5"/>
  <c r="AO530" i="5"/>
  <c r="AN530" i="5"/>
  <c r="AO362" i="5"/>
  <c r="AN362" i="5"/>
  <c r="AN439" i="5"/>
  <c r="AO439" i="5"/>
  <c r="AO36" i="5"/>
  <c r="AN36" i="5"/>
  <c r="AN169" i="5"/>
  <c r="AO169" i="5"/>
  <c r="AN145" i="5"/>
  <c r="AO145" i="5"/>
  <c r="AN556" i="5"/>
  <c r="AO556" i="5"/>
  <c r="AN264" i="5"/>
  <c r="AO264" i="5"/>
  <c r="AO297" i="5"/>
  <c r="AN297" i="5"/>
  <c r="AO85" i="5"/>
  <c r="AN85" i="5"/>
  <c r="AO456" i="5"/>
  <c r="AN456" i="5"/>
  <c r="AO434" i="5"/>
  <c r="AN434" i="5"/>
  <c r="AO342" i="5"/>
  <c r="AN342" i="5"/>
  <c r="AO437" i="5"/>
  <c r="AN437" i="5"/>
  <c r="AO110" i="5"/>
  <c r="AN110" i="5"/>
  <c r="AO369" i="5"/>
  <c r="AN369" i="5"/>
  <c r="AO299" i="5"/>
  <c r="AN299" i="5"/>
  <c r="AO228" i="5"/>
  <c r="AN228" i="5"/>
  <c r="AO324" i="5"/>
  <c r="AN324" i="5"/>
  <c r="AN32" i="5"/>
  <c r="AO32" i="5"/>
  <c r="AO155" i="5"/>
  <c r="AN155" i="5"/>
  <c r="AN116" i="5"/>
  <c r="AO116" i="5"/>
  <c r="AN125" i="5"/>
  <c r="AO125" i="5"/>
  <c r="AO56" i="5"/>
  <c r="AN56" i="5"/>
  <c r="AN146" i="5"/>
  <c r="AO146" i="5"/>
  <c r="AN136" i="5"/>
  <c r="AO136" i="5"/>
  <c r="AN179" i="5"/>
  <c r="AO179" i="5"/>
  <c r="AO340" i="5"/>
  <c r="AN340" i="5"/>
  <c r="AN66" i="5"/>
  <c r="AO66" i="5"/>
  <c r="AN455" i="5"/>
  <c r="AO455" i="5"/>
  <c r="AN283" i="5"/>
  <c r="AO283" i="5"/>
  <c r="AO320" i="5"/>
  <c r="AN320" i="5"/>
  <c r="AN343" i="5"/>
  <c r="AO343" i="5"/>
  <c r="AN335" i="5"/>
  <c r="AO335" i="5"/>
  <c r="AN90" i="5"/>
  <c r="AO90" i="5"/>
  <c r="AO510" i="5"/>
  <c r="AN510" i="5"/>
  <c r="AO158" i="5"/>
  <c r="AN158" i="5"/>
  <c r="AN352" i="5"/>
  <c r="AO352" i="5"/>
  <c r="AN554" i="5"/>
  <c r="AO554" i="5"/>
  <c r="AN338" i="5"/>
  <c r="AO338" i="5"/>
  <c r="AO475" i="5"/>
  <c r="AN475" i="5"/>
  <c r="AO247" i="5"/>
  <c r="AN247" i="5"/>
  <c r="AO505" i="5"/>
  <c r="AN505" i="5"/>
  <c r="AO203" i="5"/>
  <c r="AN203" i="5"/>
  <c r="AN460" i="5"/>
  <c r="AO460" i="5"/>
  <c r="AO384" i="5"/>
  <c r="AN384" i="5"/>
  <c r="AN468" i="5"/>
  <c r="AO468" i="5"/>
  <c r="AO492" i="5"/>
  <c r="AN492" i="5"/>
  <c r="AN470" i="5"/>
  <c r="AO470" i="5"/>
  <c r="AN300" i="5"/>
  <c r="AO300" i="5"/>
  <c r="AN532" i="5"/>
  <c r="AO532" i="5"/>
  <c r="AN498" i="5"/>
  <c r="AO498" i="5"/>
  <c r="AN527" i="5"/>
  <c r="AO527" i="5"/>
  <c r="AN360" i="5"/>
  <c r="AO360" i="5"/>
  <c r="AO185" i="5"/>
  <c r="AN185" i="5"/>
  <c r="AO180" i="5"/>
  <c r="AN180" i="5"/>
  <c r="AO422" i="5"/>
  <c r="AN422" i="5"/>
  <c r="AN103" i="5"/>
  <c r="AO103" i="5"/>
  <c r="AO331" i="5"/>
  <c r="AN331" i="5"/>
  <c r="AO93" i="5"/>
  <c r="AN93" i="5"/>
  <c r="AN199" i="5"/>
  <c r="AO199" i="5"/>
  <c r="AN407" i="5"/>
  <c r="AO407" i="5"/>
  <c r="AO435" i="5"/>
  <c r="AN435" i="5"/>
  <c r="AN24" i="5"/>
  <c r="AO24" i="5"/>
  <c r="AN520" i="5"/>
  <c r="AO520" i="5"/>
  <c r="AN218" i="5"/>
  <c r="AO218" i="5"/>
  <c r="AN323" i="5"/>
  <c r="AO323" i="5"/>
  <c r="AN388" i="5"/>
  <c r="AO388" i="5"/>
  <c r="AO392" i="5"/>
  <c r="AN392" i="5"/>
  <c r="AN168" i="5"/>
  <c r="AO168" i="5"/>
  <c r="AO549" i="5"/>
  <c r="AN549" i="5"/>
  <c r="AO466" i="5"/>
  <c r="AN466" i="5"/>
  <c r="AO205" i="5"/>
  <c r="AN205" i="5"/>
  <c r="AO501" i="5"/>
  <c r="AN501" i="5"/>
  <c r="AN70" i="5"/>
  <c r="AO70" i="5"/>
  <c r="AO126" i="5"/>
  <c r="AN126" i="5"/>
  <c r="AN296" i="5"/>
  <c r="AO296" i="5"/>
  <c r="AN381" i="5"/>
  <c r="AO381" i="5"/>
  <c r="AO315" i="5"/>
  <c r="AN315" i="5"/>
  <c r="AO191" i="5"/>
  <c r="AN191" i="5"/>
  <c r="AN96" i="5"/>
  <c r="AO96" i="5"/>
  <c r="AO147" i="5"/>
  <c r="AN147" i="5"/>
  <c r="AN204" i="5"/>
  <c r="AO204" i="5"/>
  <c r="AN142" i="5"/>
  <c r="AO142" i="5"/>
  <c r="AN269" i="5"/>
  <c r="AO269" i="5"/>
  <c r="AO487" i="5"/>
  <c r="AN487" i="5"/>
  <c r="AN350" i="5"/>
  <c r="AO350" i="5"/>
  <c r="AO405" i="5"/>
  <c r="AN405" i="5"/>
  <c r="AN278" i="5"/>
  <c r="AO278" i="5"/>
  <c r="AO51" i="5"/>
  <c r="AN51" i="5"/>
  <c r="AO364" i="5"/>
  <c r="AN364" i="5"/>
  <c r="AN307" i="5"/>
  <c r="AO307" i="5"/>
  <c r="AN321" i="5"/>
  <c r="AO321" i="5"/>
  <c r="AO298" i="5"/>
  <c r="AN298" i="5"/>
  <c r="AO221" i="5"/>
  <c r="AN221" i="5"/>
  <c r="AO212" i="5"/>
  <c r="AN212" i="5"/>
  <c r="AN40" i="5"/>
  <c r="AO40" i="5"/>
  <c r="AO235" i="5"/>
  <c r="AN235" i="5"/>
  <c r="AN280" i="5"/>
  <c r="AO280" i="5"/>
  <c r="AN232" i="5"/>
  <c r="AO232" i="5"/>
  <c r="AH218" i="5"/>
  <c r="AI218" i="5"/>
  <c r="AI343" i="5"/>
  <c r="AH343" i="5"/>
  <c r="AI299" i="5"/>
  <c r="AH299" i="5"/>
  <c r="AH398" i="5"/>
  <c r="AI398" i="5"/>
  <c r="AI423" i="5"/>
  <c r="AH423" i="5"/>
  <c r="AI480" i="5"/>
  <c r="AH480" i="5"/>
  <c r="AI288" i="5"/>
  <c r="AH288" i="5"/>
  <c r="AI326" i="5"/>
  <c r="AH326" i="5"/>
  <c r="AH376" i="5"/>
  <c r="AI376" i="5"/>
  <c r="AI551" i="5"/>
  <c r="AH551" i="5"/>
  <c r="AI454" i="5"/>
  <c r="AH454" i="5"/>
  <c r="AI479" i="5"/>
  <c r="AH479" i="5"/>
  <c r="AH83" i="5"/>
  <c r="AI83" i="5"/>
  <c r="AH210" i="5"/>
  <c r="AI210" i="5"/>
  <c r="AI297" i="5"/>
  <c r="AH297" i="5"/>
  <c r="AI217" i="5"/>
  <c r="AH217" i="5"/>
  <c r="AH38" i="5"/>
  <c r="AI38" i="5"/>
  <c r="AI127" i="5"/>
  <c r="AH127" i="5"/>
  <c r="AI522" i="5"/>
  <c r="AH522" i="5"/>
  <c r="AI234" i="5"/>
  <c r="AH234" i="5"/>
  <c r="AI488" i="5"/>
  <c r="AH488" i="5"/>
  <c r="AI323" i="5"/>
  <c r="AH323" i="5"/>
  <c r="AH118" i="5"/>
  <c r="AI118" i="5"/>
  <c r="AH153" i="5"/>
  <c r="AI153" i="5"/>
  <c r="AI539" i="5"/>
  <c r="AH539" i="5"/>
  <c r="AI200" i="5"/>
  <c r="AH200" i="5"/>
  <c r="AI167" i="5"/>
  <c r="AH167" i="5"/>
  <c r="AI222" i="5"/>
  <c r="AH222" i="5"/>
  <c r="AI333" i="5"/>
  <c r="AH333" i="5"/>
  <c r="AI156" i="5"/>
  <c r="AH156" i="5"/>
  <c r="AH231" i="5"/>
  <c r="AI231" i="5"/>
  <c r="AH473" i="5"/>
  <c r="AI473" i="5"/>
  <c r="AI443" i="5"/>
  <c r="AH443" i="5"/>
  <c r="AI313" i="5"/>
  <c r="AH313" i="5"/>
  <c r="AH312" i="5"/>
  <c r="AI312" i="5"/>
  <c r="AI151" i="5"/>
  <c r="AH151" i="5"/>
  <c r="AH419" i="5"/>
  <c r="AI419" i="5"/>
  <c r="AH175" i="5"/>
  <c r="AI175" i="5"/>
  <c r="AH209" i="5"/>
  <c r="AI209" i="5"/>
  <c r="AH141" i="5"/>
  <c r="AI141" i="5"/>
  <c r="AI486" i="5"/>
  <c r="AH486" i="5"/>
  <c r="AH128" i="5"/>
  <c r="AI128" i="5"/>
  <c r="AH557" i="5"/>
  <c r="AI557" i="5"/>
  <c r="AI359" i="5"/>
  <c r="AH359" i="5"/>
  <c r="AH520" i="5"/>
  <c r="AI520" i="5"/>
  <c r="AI240" i="5"/>
  <c r="AH240" i="5"/>
  <c r="AI435" i="5"/>
  <c r="AH435" i="5"/>
  <c r="AI490" i="5"/>
  <c r="AH490" i="5"/>
  <c r="AH469" i="5"/>
  <c r="AI469" i="5"/>
  <c r="AI432" i="5"/>
  <c r="AH432" i="5"/>
  <c r="AI92" i="5"/>
  <c r="AH92" i="5"/>
  <c r="AH67" i="5"/>
  <c r="AI67" i="5"/>
  <c r="AH58" i="5"/>
  <c r="AI58" i="5"/>
  <c r="AH257" i="5"/>
  <c r="AI257" i="5"/>
  <c r="AI62" i="5"/>
  <c r="AH62" i="5"/>
  <c r="AI272" i="5"/>
  <c r="AH272" i="5"/>
  <c r="AI456" i="5"/>
  <c r="AH456" i="5"/>
  <c r="AI307" i="5"/>
  <c r="AH307" i="5"/>
  <c r="AH26" i="5"/>
  <c r="AI26" i="5"/>
  <c r="AI339" i="5"/>
  <c r="AH339" i="5"/>
  <c r="AI397" i="5"/>
  <c r="AH397" i="5"/>
  <c r="AI119" i="5"/>
  <c r="AH119" i="5"/>
  <c r="AI380" i="5"/>
  <c r="AH380" i="5"/>
  <c r="AI293" i="5"/>
  <c r="AH293" i="5"/>
  <c r="AH287" i="5"/>
  <c r="AI287" i="5"/>
  <c r="AI289" i="5"/>
  <c r="AH289" i="5"/>
  <c r="AH64" i="5"/>
  <c r="AI64" i="5"/>
  <c r="AH554" i="5"/>
  <c r="AI554" i="5"/>
  <c r="AH470" i="5"/>
  <c r="AI470" i="5"/>
  <c r="AH206" i="5"/>
  <c r="AI206" i="5"/>
  <c r="AI132" i="5"/>
  <c r="AH132" i="5"/>
  <c r="AI196" i="5"/>
  <c r="AH196" i="5"/>
  <c r="AH114" i="5"/>
  <c r="AI114" i="5"/>
  <c r="AH203" i="5"/>
  <c r="AI203" i="5"/>
  <c r="AI426" i="5"/>
  <c r="AH426" i="5"/>
  <c r="AH228" i="5"/>
  <c r="AI228" i="5"/>
  <c r="AI370" i="5"/>
  <c r="AH370" i="5"/>
  <c r="AH53" i="5"/>
  <c r="AI53" i="5"/>
  <c r="AI507" i="5"/>
  <c r="AH507" i="5"/>
  <c r="AI438" i="5"/>
  <c r="AH438" i="5"/>
  <c r="AI440" i="5"/>
  <c r="AH440" i="5"/>
  <c r="AI535" i="5"/>
  <c r="AH535" i="5"/>
  <c r="AI147" i="5"/>
  <c r="AH147" i="5"/>
  <c r="AI310" i="5"/>
  <c r="AH310" i="5"/>
  <c r="AH20" i="5"/>
  <c r="AI20" i="5"/>
  <c r="AH138" i="5"/>
  <c r="AI138" i="5"/>
  <c r="AH379" i="5"/>
  <c r="AI379" i="5"/>
  <c r="AI404" i="5"/>
  <c r="AH404" i="5"/>
  <c r="AH350" i="5"/>
  <c r="AI350" i="5"/>
  <c r="AH140" i="5"/>
  <c r="AI140" i="5"/>
  <c r="AI160" i="5"/>
  <c r="AH160" i="5"/>
  <c r="AH388" i="5"/>
  <c r="AI388" i="5"/>
  <c r="AH315" i="5"/>
  <c r="AI315" i="5"/>
  <c r="AH517" i="5"/>
  <c r="AI517" i="5"/>
  <c r="AI39" i="5"/>
  <c r="AH39" i="5"/>
  <c r="AH512" i="5"/>
  <c r="AI512" i="5"/>
  <c r="AH442" i="5"/>
  <c r="AI442" i="5"/>
  <c r="AI27" i="5"/>
  <c r="AH27" i="5"/>
  <c r="AH371" i="5"/>
  <c r="AI371" i="5"/>
  <c r="AI444" i="5"/>
  <c r="AH444" i="5"/>
  <c r="AH341" i="5"/>
  <c r="AI341" i="5"/>
  <c r="AH85" i="5"/>
  <c r="AI85" i="5"/>
  <c r="AI402" i="5"/>
  <c r="AH402" i="5"/>
  <c r="AI215" i="5"/>
  <c r="AH215" i="5"/>
  <c r="AI515" i="5"/>
  <c r="AH515" i="5"/>
  <c r="AI526" i="5"/>
  <c r="AH526" i="5"/>
  <c r="AH534" i="5"/>
  <c r="AI534" i="5"/>
  <c r="AH40" i="5"/>
  <c r="AI40" i="5"/>
  <c r="AI173" i="5"/>
  <c r="AH173" i="5"/>
  <c r="AH52" i="5"/>
  <c r="AI52" i="5"/>
  <c r="AI226" i="5"/>
  <c r="AH226" i="5"/>
  <c r="AH267" i="5"/>
  <c r="AI267" i="5"/>
  <c r="AI420" i="5"/>
  <c r="AH420" i="5"/>
  <c r="AH502" i="5"/>
  <c r="AI502" i="5"/>
  <c r="AI163" i="5"/>
  <c r="AH163" i="5"/>
  <c r="AI54" i="5"/>
  <c r="AH54" i="5"/>
  <c r="AI415" i="5"/>
  <c r="AH415" i="5"/>
  <c r="AH261" i="5"/>
  <c r="AI261" i="5"/>
  <c r="AI458" i="5"/>
  <c r="AH458" i="5"/>
  <c r="AI459" i="5"/>
  <c r="AH459" i="5"/>
  <c r="AH199" i="5"/>
  <c r="AI199" i="5"/>
  <c r="AH496" i="5"/>
  <c r="AI496" i="5"/>
  <c r="AH451" i="5"/>
  <c r="AI451" i="5"/>
  <c r="AI468" i="5"/>
  <c r="AH468" i="5"/>
  <c r="AH35" i="5"/>
  <c r="AI35" i="5"/>
  <c r="AH195" i="5"/>
  <c r="AI195" i="5"/>
  <c r="AI116" i="5"/>
  <c r="AH116" i="5"/>
  <c r="AI416" i="5"/>
  <c r="AH416" i="5"/>
  <c r="AH236" i="5"/>
  <c r="AI236" i="5"/>
  <c r="AH448" i="5"/>
  <c r="AI448" i="5"/>
  <c r="AI186" i="5"/>
  <c r="AH186" i="5"/>
  <c r="AI112" i="5"/>
  <c r="AH112" i="5"/>
  <c r="AI411" i="5"/>
  <c r="AH411" i="5"/>
  <c r="AH134" i="5"/>
  <c r="AI134" i="5"/>
  <c r="AI247" i="5"/>
  <c r="AH247" i="5"/>
  <c r="AI220" i="5"/>
  <c r="AH220" i="5"/>
  <c r="AI96" i="5"/>
  <c r="AH96" i="5"/>
  <c r="AH21" i="4"/>
  <c r="AE21" i="4"/>
  <c r="Z21" i="4"/>
  <c r="X21" i="4" s="1"/>
  <c r="AJ21" i="4" s="1"/>
  <c r="AH19" i="4"/>
  <c r="AE19" i="4"/>
  <c r="Z19" i="4"/>
  <c r="X19" i="4" s="1"/>
  <c r="AJ19" i="4" s="1"/>
  <c r="AH111" i="4"/>
  <c r="AE111" i="4"/>
  <c r="AH13" i="4"/>
  <c r="Z13" i="4"/>
  <c r="X13" i="4" s="1"/>
  <c r="AJ13" i="4" s="1"/>
  <c r="AE13" i="4"/>
  <c r="AH92" i="4"/>
  <c r="AE92" i="4"/>
  <c r="AH133" i="4"/>
  <c r="AE133" i="4"/>
  <c r="AH38" i="4"/>
  <c r="AE38" i="4"/>
  <c r="Z38" i="4"/>
  <c r="AA38" i="4"/>
  <c r="AE127" i="4"/>
  <c r="AH127" i="4"/>
  <c r="AE18" i="4"/>
  <c r="AH18" i="4"/>
  <c r="Z18" i="4"/>
  <c r="X18" i="4" s="1"/>
  <c r="AJ18" i="4" s="1"/>
  <c r="AE156" i="4"/>
  <c r="AH156" i="4"/>
  <c r="AH77" i="4"/>
  <c r="AE77" i="4"/>
  <c r="AH40" i="4"/>
  <c r="AE40" i="4"/>
  <c r="Z40" i="4"/>
  <c r="AE22" i="4"/>
  <c r="AH22" i="4"/>
  <c r="Z22" i="4"/>
  <c r="X22" i="4" s="1"/>
  <c r="AJ22" i="4" s="1"/>
  <c r="AH125" i="4"/>
  <c r="AE125" i="4"/>
  <c r="AE115" i="4"/>
  <c r="AH115" i="4"/>
  <c r="AA115" i="4"/>
  <c r="Z115" i="4"/>
  <c r="AH134" i="4"/>
  <c r="AE134" i="4"/>
  <c r="AE11" i="4"/>
  <c r="AH11" i="4"/>
  <c r="Z11" i="4"/>
  <c r="X11" i="4" s="1"/>
  <c r="AJ11" i="4" s="1"/>
  <c r="AH154" i="4"/>
  <c r="AE154" i="4"/>
  <c r="AH143" i="4"/>
  <c r="AE143" i="4"/>
  <c r="AE52" i="4"/>
  <c r="AH52" i="4"/>
  <c r="Z52" i="4"/>
  <c r="X52" i="4" s="1"/>
  <c r="AH17" i="4"/>
  <c r="Z17" i="4"/>
  <c r="X17" i="4" s="1"/>
  <c r="AA17" i="4" s="1"/>
  <c r="AE17" i="4"/>
  <c r="AH132" i="4"/>
  <c r="Z132" i="4"/>
  <c r="AE132" i="4"/>
  <c r="AA132" i="4"/>
  <c r="AH86" i="4"/>
  <c r="AE86" i="4"/>
  <c r="AH90" i="4"/>
  <c r="AE90" i="4"/>
  <c r="AH45" i="4"/>
  <c r="Z45" i="4"/>
  <c r="AE45" i="4"/>
  <c r="AH107" i="4"/>
  <c r="AA107" i="4"/>
  <c r="Z107" i="4"/>
  <c r="AE107" i="4"/>
  <c r="AP127" i="5"/>
  <c r="AP500" i="5"/>
  <c r="AP524" i="5"/>
  <c r="AH61" i="4"/>
  <c r="AE61" i="4"/>
  <c r="AE141" i="4"/>
  <c r="AH141" i="4"/>
  <c r="AE33" i="4"/>
  <c r="Z33" i="4"/>
  <c r="X33" i="4" s="1"/>
  <c r="AH33" i="4"/>
  <c r="AH44" i="4"/>
  <c r="AE44" i="4"/>
  <c r="Z44" i="4"/>
  <c r="X44" i="4" s="1"/>
  <c r="AJ44" i="4" s="1"/>
  <c r="AE30" i="4"/>
  <c r="Z30" i="4"/>
  <c r="X30" i="4" s="1"/>
  <c r="AH30" i="4"/>
  <c r="AH15" i="4"/>
  <c r="AE15" i="4"/>
  <c r="Z15" i="4"/>
  <c r="X15" i="4" s="1"/>
  <c r="AJ15" i="4" s="1"/>
  <c r="AH8" i="4"/>
  <c r="Z8" i="4"/>
  <c r="X8" i="4" s="1"/>
  <c r="AJ8" i="4" s="1"/>
  <c r="AE8" i="4"/>
  <c r="AA147" i="4"/>
  <c r="AE147" i="4"/>
  <c r="Z147" i="4"/>
  <c r="AH147" i="4"/>
  <c r="AH137" i="4"/>
  <c r="AE137" i="4"/>
  <c r="AE28" i="4"/>
  <c r="Z28" i="4"/>
  <c r="X28" i="4" s="1"/>
  <c r="AH28" i="4"/>
  <c r="AE151" i="4"/>
  <c r="AH151" i="4"/>
  <c r="AU9" i="5"/>
  <c r="AV9" i="5"/>
  <c r="BC9" i="5"/>
  <c r="BB9" i="5"/>
  <c r="BA9" i="5"/>
  <c r="X9" i="5"/>
  <c r="Y9" i="5"/>
  <c r="AN397" i="5"/>
  <c r="AO397" i="5"/>
  <c r="AN237" i="5"/>
  <c r="AO237" i="5"/>
  <c r="AO37" i="5"/>
  <c r="AN37" i="5"/>
  <c r="AN558" i="5"/>
  <c r="AO558" i="5"/>
  <c r="AN166" i="5"/>
  <c r="AO166" i="5"/>
  <c r="AN404" i="5"/>
  <c r="AO404" i="5"/>
  <c r="AN187" i="5"/>
  <c r="AO187" i="5"/>
  <c r="AN216" i="5"/>
  <c r="AO216" i="5"/>
  <c r="AO420" i="5"/>
  <c r="AN420" i="5"/>
  <c r="AN427" i="5"/>
  <c r="AO427" i="5"/>
  <c r="AO447" i="5"/>
  <c r="AN447" i="5"/>
  <c r="AO286" i="5"/>
  <c r="AN286" i="5"/>
  <c r="AN473" i="5"/>
  <c r="AO473" i="5"/>
  <c r="AO503" i="5"/>
  <c r="AN503" i="5"/>
  <c r="AN202" i="5"/>
  <c r="AO202" i="5"/>
  <c r="AN215" i="5"/>
  <c r="AO215" i="5"/>
  <c r="AN177" i="5"/>
  <c r="AO177" i="5"/>
  <c r="AN328" i="5"/>
  <c r="AO328" i="5"/>
  <c r="AN306" i="5"/>
  <c r="AO306" i="5"/>
  <c r="AN421" i="5"/>
  <c r="AO421" i="5"/>
  <c r="AO109" i="5"/>
  <c r="AN109" i="5"/>
  <c r="AN545" i="5"/>
  <c r="AO545" i="5"/>
  <c r="AN344" i="5"/>
  <c r="AO344" i="5"/>
  <c r="AN491" i="5"/>
  <c r="AO491" i="5"/>
  <c r="AO512" i="5"/>
  <c r="AN512" i="5"/>
  <c r="AO544" i="5"/>
  <c r="AN544" i="5"/>
  <c r="AO134" i="5"/>
  <c r="AN134" i="5"/>
  <c r="AN433" i="5"/>
  <c r="AO433" i="5"/>
  <c r="AN22" i="5"/>
  <c r="AO22" i="5"/>
  <c r="AN181" i="5"/>
  <c r="AO181" i="5"/>
  <c r="AO555" i="5"/>
  <c r="AN555" i="5"/>
  <c r="AO262" i="5"/>
  <c r="AN262" i="5"/>
  <c r="AN410" i="5"/>
  <c r="AO410" i="5"/>
  <c r="AN502" i="5"/>
  <c r="AO502" i="5"/>
  <c r="AN233" i="5"/>
  <c r="AO233" i="5"/>
  <c r="AN319" i="5"/>
  <c r="AO319" i="5"/>
  <c r="AN457" i="5"/>
  <c r="AO457" i="5"/>
  <c r="AN304" i="5"/>
  <c r="AO304" i="5"/>
  <c r="AO46" i="5"/>
  <c r="AN46" i="5"/>
  <c r="AN400" i="5"/>
  <c r="AO400" i="5"/>
  <c r="AN398" i="5"/>
  <c r="AO398" i="5"/>
  <c r="AO440" i="5"/>
  <c r="AN440" i="5"/>
  <c r="AO198" i="5"/>
  <c r="AN198" i="5"/>
  <c r="AN34" i="5"/>
  <c r="AO34" i="5"/>
  <c r="AO64" i="5"/>
  <c r="AN64" i="5"/>
  <c r="AN50" i="5"/>
  <c r="AO50" i="5"/>
  <c r="AN431" i="5"/>
  <c r="AO431" i="5"/>
  <c r="AO542" i="5"/>
  <c r="AN542" i="5"/>
  <c r="AO206" i="5"/>
  <c r="AN206" i="5"/>
  <c r="AO370" i="5"/>
  <c r="AN370" i="5"/>
  <c r="AO499" i="5"/>
  <c r="AN499" i="5"/>
  <c r="AN10" i="5"/>
  <c r="AO10" i="5"/>
  <c r="AO481" i="5"/>
  <c r="AN481" i="5"/>
  <c r="AO239" i="5"/>
  <c r="AN239" i="5"/>
  <c r="AO263" i="5"/>
  <c r="AN263" i="5"/>
  <c r="AO258" i="5"/>
  <c r="AN258" i="5"/>
  <c r="AO55" i="5"/>
  <c r="AN55" i="5"/>
  <c r="AN255" i="5"/>
  <c r="AO255" i="5"/>
  <c r="AN112" i="5"/>
  <c r="AO112" i="5"/>
  <c r="AO332" i="5"/>
  <c r="AN332" i="5"/>
  <c r="AN543" i="5"/>
  <c r="AO543" i="5"/>
  <c r="AN53" i="5"/>
  <c r="AO53" i="5"/>
  <c r="AN88" i="5"/>
  <c r="AO88" i="5"/>
  <c r="AN513" i="5"/>
  <c r="AO513" i="5"/>
  <c r="AN396" i="5"/>
  <c r="AO396" i="5"/>
  <c r="AN217" i="5"/>
  <c r="AO217" i="5"/>
  <c r="AN519" i="5"/>
  <c r="AO519" i="5"/>
  <c r="AO464" i="5"/>
  <c r="AN464" i="5"/>
  <c r="AN357" i="5"/>
  <c r="AO357" i="5"/>
  <c r="AO94" i="5"/>
  <c r="AN94" i="5"/>
  <c r="AN102" i="5"/>
  <c r="AO102" i="5"/>
  <c r="AN19" i="5"/>
  <c r="AO19" i="5"/>
  <c r="AO97" i="5"/>
  <c r="AN97" i="5"/>
  <c r="AO279" i="5"/>
  <c r="AN279" i="5"/>
  <c r="AN165" i="5"/>
  <c r="AO165" i="5"/>
  <c r="AN67" i="5"/>
  <c r="AO67" i="5"/>
  <c r="AO415" i="5"/>
  <c r="AN415" i="5"/>
  <c r="AO52" i="5"/>
  <c r="AN52" i="5"/>
  <c r="AN43" i="5"/>
  <c r="AO43" i="5"/>
  <c r="AN317" i="5"/>
  <c r="AO317" i="5"/>
  <c r="AO523" i="5"/>
  <c r="AN523" i="5"/>
  <c r="AO359" i="5"/>
  <c r="AN359" i="5"/>
  <c r="AO131" i="5"/>
  <c r="AN131" i="5"/>
  <c r="AO100" i="5"/>
  <c r="AN100" i="5"/>
  <c r="AN528" i="5"/>
  <c r="AO528" i="5"/>
  <c r="AN303" i="5"/>
  <c r="AO303" i="5"/>
  <c r="AN349" i="5"/>
  <c r="AO349" i="5"/>
  <c r="AO540" i="5"/>
  <c r="AN540" i="5"/>
  <c r="AO174" i="5"/>
  <c r="AN174" i="5"/>
  <c r="AO29" i="5"/>
  <c r="AN29" i="5"/>
  <c r="AN471" i="5"/>
  <c r="AO471" i="5"/>
  <c r="AN488" i="5"/>
  <c r="AO488" i="5"/>
  <c r="AN20" i="5"/>
  <c r="AO20" i="5"/>
  <c r="AN238" i="5"/>
  <c r="AO238" i="5"/>
  <c r="AN508" i="5"/>
  <c r="AO508" i="5"/>
  <c r="AN23" i="5"/>
  <c r="AO23" i="5"/>
  <c r="AN111" i="5"/>
  <c r="AO111" i="5"/>
  <c r="AN161" i="5"/>
  <c r="AO161" i="5"/>
  <c r="AO99" i="5"/>
  <c r="AN99" i="5"/>
  <c r="AN35" i="5"/>
  <c r="AO35" i="5"/>
  <c r="AO119" i="5"/>
  <c r="AN119" i="5"/>
  <c r="AO271" i="5"/>
  <c r="AN271" i="5"/>
  <c r="AN449" i="5"/>
  <c r="AO449" i="5"/>
  <c r="AO538" i="5"/>
  <c r="AN538" i="5"/>
  <c r="AN47" i="5"/>
  <c r="AO47" i="5"/>
  <c r="AO58" i="5"/>
  <c r="AN58" i="5"/>
  <c r="AN379" i="5"/>
  <c r="AO379" i="5"/>
  <c r="AN339" i="5"/>
  <c r="AO339" i="5"/>
  <c r="AN522" i="5"/>
  <c r="AO522" i="5"/>
  <c r="AN423" i="5"/>
  <c r="AO423" i="5"/>
  <c r="AN223" i="5"/>
  <c r="AO223" i="5"/>
  <c r="AO75" i="5"/>
  <c r="AN75" i="5"/>
  <c r="AN91" i="5"/>
  <c r="AO91" i="5"/>
  <c r="AN123" i="5"/>
  <c r="AO123" i="5"/>
  <c r="AO493" i="5"/>
  <c r="AN493" i="5"/>
  <c r="AO7" i="5"/>
  <c r="AN7" i="5"/>
  <c r="AO346" i="5"/>
  <c r="AN346" i="5"/>
  <c r="AN484" i="5"/>
  <c r="AO484" i="5"/>
  <c r="AO8" i="5"/>
  <c r="AN8" i="5"/>
  <c r="AO130" i="5"/>
  <c r="AN130" i="5"/>
  <c r="AO289" i="5"/>
  <c r="AN289" i="5"/>
  <c r="AO534" i="5"/>
  <c r="AN534" i="5"/>
  <c r="AO253" i="5"/>
  <c r="AN253" i="5"/>
  <c r="AN89" i="5"/>
  <c r="AO89" i="5"/>
  <c r="AO121" i="5"/>
  <c r="AN121" i="5"/>
  <c r="AN395" i="5"/>
  <c r="AO395" i="5"/>
  <c r="AN330" i="5"/>
  <c r="AO330" i="5"/>
  <c r="AN188" i="5"/>
  <c r="AO188" i="5"/>
  <c r="AO441" i="5"/>
  <c r="AN441" i="5"/>
  <c r="AO486" i="5"/>
  <c r="AN486" i="5"/>
  <c r="AN92" i="5"/>
  <c r="AO92" i="5"/>
  <c r="AO60" i="5"/>
  <c r="AN60" i="5"/>
  <c r="AO80" i="5"/>
  <c r="AN80" i="5"/>
  <c r="AN114" i="5"/>
  <c r="AO114" i="5"/>
  <c r="AO261" i="5"/>
  <c r="AN261" i="5"/>
  <c r="AN245" i="5"/>
  <c r="AO245" i="5"/>
  <c r="AN516" i="5"/>
  <c r="AO516" i="5"/>
  <c r="AH335" i="5"/>
  <c r="AI335" i="5"/>
  <c r="AH482" i="5"/>
  <c r="AI482" i="5"/>
  <c r="AH446" i="5"/>
  <c r="AI446" i="5"/>
  <c r="AH386" i="5"/>
  <c r="AI386" i="5"/>
  <c r="AI162" i="5"/>
  <c r="AH162" i="5"/>
  <c r="AH8" i="5"/>
  <c r="AI8" i="5"/>
  <c r="AI497" i="5"/>
  <c r="AH497" i="5"/>
  <c r="AI455" i="5"/>
  <c r="AH455" i="5"/>
  <c r="AH529" i="5"/>
  <c r="AI529" i="5"/>
  <c r="AI309" i="5"/>
  <c r="AH309" i="5"/>
  <c r="AI90" i="5"/>
  <c r="AH90" i="5"/>
  <c r="AH431" i="5"/>
  <c r="AI431" i="5"/>
  <c r="AH126" i="5"/>
  <c r="AI126" i="5"/>
  <c r="AH32" i="5"/>
  <c r="AI32" i="5"/>
  <c r="AH373" i="5"/>
  <c r="AI373" i="5"/>
  <c r="AH108" i="5"/>
  <c r="AI108" i="5"/>
  <c r="AI281" i="5"/>
  <c r="AH281" i="5"/>
  <c r="AI176" i="5"/>
  <c r="AH176" i="5"/>
  <c r="AI237" i="5"/>
  <c r="AH237" i="5"/>
  <c r="AI538" i="5"/>
  <c r="AH538" i="5"/>
  <c r="AH284" i="5"/>
  <c r="AI284" i="5"/>
  <c r="AH270" i="5"/>
  <c r="AI270" i="5"/>
  <c r="AH509" i="5"/>
  <c r="AI509" i="5"/>
  <c r="AH511" i="5"/>
  <c r="AI511" i="5"/>
  <c r="AH260" i="5"/>
  <c r="AI260" i="5"/>
  <c r="AH472" i="5"/>
  <c r="AI472" i="5"/>
  <c r="AH19" i="5"/>
  <c r="AI19" i="5"/>
  <c r="AI207" i="5"/>
  <c r="AH207" i="5"/>
  <c r="AI168" i="5"/>
  <c r="AH168" i="5"/>
  <c r="AI70" i="5"/>
  <c r="AH70" i="5"/>
  <c r="AI24" i="5"/>
  <c r="AH24" i="5"/>
  <c r="AI302" i="5"/>
  <c r="AH302" i="5"/>
  <c r="AH403" i="5"/>
  <c r="AI403" i="5"/>
  <c r="AH133" i="5"/>
  <c r="AI133" i="5"/>
  <c r="AH159" i="5"/>
  <c r="AI159" i="5"/>
  <c r="AH363" i="5"/>
  <c r="AI363" i="5"/>
  <c r="AH238" i="5"/>
  <c r="AI238" i="5"/>
  <c r="AI129" i="5"/>
  <c r="AH129" i="5"/>
  <c r="AI185" i="5"/>
  <c r="AH185" i="5"/>
  <c r="AI428" i="5"/>
  <c r="AH428" i="5"/>
  <c r="AI362" i="5"/>
  <c r="AH362" i="5"/>
  <c r="AH130" i="5"/>
  <c r="AI130" i="5"/>
  <c r="AH277" i="5"/>
  <c r="AI277" i="5"/>
  <c r="AH492" i="5"/>
  <c r="AI492" i="5"/>
  <c r="AH452" i="5"/>
  <c r="AI452" i="5"/>
  <c r="AH332" i="5"/>
  <c r="AI332" i="5"/>
  <c r="AH124" i="5"/>
  <c r="AI124" i="5"/>
  <c r="AH481" i="5"/>
  <c r="AI481" i="5"/>
  <c r="AH305" i="5"/>
  <c r="AI305" i="5"/>
  <c r="AI251" i="5"/>
  <c r="AH251" i="5"/>
  <c r="AI227" i="5"/>
  <c r="AH227" i="5"/>
  <c r="AH201" i="5"/>
  <c r="AI201" i="5"/>
  <c r="AH99" i="5"/>
  <c r="AI99" i="5"/>
  <c r="AH275" i="5"/>
  <c r="AI275" i="5"/>
  <c r="AI180" i="5"/>
  <c r="AH180" i="5"/>
  <c r="AH304" i="5"/>
  <c r="AI304" i="5"/>
  <c r="AH214" i="5"/>
  <c r="AI214" i="5"/>
  <c r="AH65" i="5"/>
  <c r="AI65" i="5"/>
  <c r="AH256" i="5"/>
  <c r="AI256" i="5"/>
  <c r="AI109" i="5"/>
  <c r="AH109" i="5"/>
  <c r="AI279" i="5"/>
  <c r="AH279" i="5"/>
  <c r="AH104" i="5"/>
  <c r="AI104" i="5"/>
  <c r="AH525" i="5"/>
  <c r="AI525" i="5"/>
  <c r="AH387" i="5"/>
  <c r="AI387" i="5"/>
  <c r="AI223" i="5"/>
  <c r="AH223" i="5"/>
  <c r="AI137" i="5"/>
  <c r="AH137" i="5"/>
  <c r="AI485" i="5"/>
  <c r="AH485" i="5"/>
  <c r="AH477" i="5"/>
  <c r="AI477" i="5"/>
  <c r="AH461" i="5"/>
  <c r="AI461" i="5"/>
  <c r="AH245" i="5"/>
  <c r="AI245" i="5"/>
  <c r="AI528" i="5"/>
  <c r="AH528" i="5"/>
  <c r="AH169" i="5"/>
  <c r="AI169" i="5"/>
  <c r="AI135" i="5"/>
  <c r="AH135" i="5"/>
  <c r="AI246" i="5"/>
  <c r="AH246" i="5"/>
  <c r="AI122" i="5"/>
  <c r="AH122" i="5"/>
  <c r="AI338" i="5"/>
  <c r="AH338" i="5"/>
  <c r="AI533" i="5"/>
  <c r="AH533" i="5"/>
  <c r="AI86" i="5"/>
  <c r="AH86" i="5"/>
  <c r="AI516" i="5"/>
  <c r="AH516" i="5"/>
  <c r="AI474" i="5"/>
  <c r="AH474" i="5"/>
  <c r="AI487" i="5"/>
  <c r="AH487" i="5"/>
  <c r="AI49" i="5"/>
  <c r="AH49" i="5"/>
  <c r="AI501" i="5"/>
  <c r="AH501" i="5"/>
  <c r="AI148" i="5"/>
  <c r="AH148" i="5"/>
  <c r="AH157" i="5"/>
  <c r="AI157" i="5"/>
  <c r="AH471" i="5"/>
  <c r="AI471" i="5"/>
  <c r="AI544" i="5"/>
  <c r="AH544" i="5"/>
  <c r="AH232" i="5"/>
  <c r="AI232" i="5"/>
  <c r="AH95" i="5"/>
  <c r="AI95" i="5"/>
  <c r="AI191" i="5"/>
  <c r="AH191" i="5"/>
  <c r="AH44" i="5"/>
  <c r="AI44" i="5"/>
  <c r="AH559" i="5"/>
  <c r="AI559" i="5"/>
  <c r="AH139" i="5"/>
  <c r="AI139" i="5"/>
  <c r="AI537" i="5"/>
  <c r="AH537" i="5"/>
  <c r="AI179" i="5"/>
  <c r="AH179" i="5"/>
  <c r="AH545" i="5"/>
  <c r="AI545" i="5"/>
  <c r="AH489" i="5"/>
  <c r="AI489" i="5"/>
  <c r="AH197" i="5"/>
  <c r="AI197" i="5"/>
  <c r="AH357" i="5"/>
  <c r="AI357" i="5"/>
  <c r="AH263" i="5"/>
  <c r="AI263" i="5"/>
  <c r="AH532" i="5"/>
  <c r="AI532" i="5"/>
  <c r="AH449" i="5"/>
  <c r="AI449" i="5"/>
  <c r="AH346" i="5"/>
  <c r="AI346" i="5"/>
  <c r="AI301" i="5"/>
  <c r="AH301" i="5"/>
  <c r="AI101" i="5"/>
  <c r="AH101" i="5"/>
  <c r="AI117" i="5"/>
  <c r="AH117" i="5"/>
  <c r="AI202" i="5"/>
  <c r="AH202" i="5"/>
  <c r="AH172" i="5"/>
  <c r="AI172" i="5"/>
  <c r="AI190" i="5"/>
  <c r="AH190" i="5"/>
  <c r="AI68" i="5"/>
  <c r="AH68" i="5"/>
  <c r="AH183" i="5"/>
  <c r="AI183" i="5"/>
  <c r="AI145" i="5"/>
  <c r="AH145" i="5"/>
  <c r="AI400" i="5"/>
  <c r="AH400" i="5"/>
  <c r="AI475" i="5"/>
  <c r="AH475" i="5"/>
  <c r="AH311" i="5"/>
  <c r="AI311" i="5"/>
  <c r="AI193" i="5"/>
  <c r="AH193" i="5"/>
  <c r="AH500" i="5"/>
  <c r="AI500" i="5"/>
  <c r="AH351" i="5"/>
  <c r="AI351" i="5"/>
  <c r="AI508" i="5"/>
  <c r="AH508" i="5"/>
  <c r="AH249" i="5"/>
  <c r="AI249" i="5"/>
  <c r="AH418" i="5"/>
  <c r="AI418" i="5"/>
  <c r="AH182" i="5"/>
  <c r="AI182" i="5"/>
  <c r="AH150" i="5"/>
  <c r="AI150" i="5"/>
  <c r="AH252" i="5"/>
  <c r="AI252" i="5"/>
  <c r="AI149" i="5"/>
  <c r="AH149" i="5"/>
  <c r="AH110" i="5"/>
  <c r="AI110" i="5"/>
  <c r="AI243" i="5"/>
  <c r="AH243" i="5"/>
  <c r="AI98" i="5"/>
  <c r="AH98" i="5"/>
  <c r="AH30" i="5"/>
  <c r="AI30" i="5"/>
  <c r="AH450" i="5"/>
  <c r="AI450" i="5"/>
  <c r="AI374" i="5"/>
  <c r="AH374" i="5"/>
  <c r="AH155" i="5"/>
  <c r="AI155" i="5"/>
  <c r="AH13" i="5"/>
  <c r="AI13" i="5"/>
  <c r="AI88" i="5"/>
  <c r="AH88" i="5"/>
  <c r="AH184" i="5"/>
  <c r="AI184" i="5"/>
  <c r="AI72" i="5"/>
  <c r="AH72" i="5"/>
  <c r="AH352" i="5"/>
  <c r="AI352" i="5"/>
  <c r="AE103" i="4"/>
  <c r="AA103" i="4"/>
  <c r="Z103" i="4"/>
  <c r="AH103" i="4"/>
  <c r="AH75" i="4"/>
  <c r="AE75" i="4"/>
  <c r="AR128" i="5" l="1"/>
  <c r="BI128" i="5"/>
  <c r="BJ128" i="5" s="1"/>
  <c r="AQ31" i="5"/>
  <c r="AR31" i="5"/>
  <c r="BI343" i="5"/>
  <c r="BJ343" i="5" s="1"/>
  <c r="AR343" i="5"/>
  <c r="BI456" i="5"/>
  <c r="BK456" i="5" s="1"/>
  <c r="AR456" i="5"/>
  <c r="AR482" i="5"/>
  <c r="BI140" i="5"/>
  <c r="BJ140" i="5" s="1"/>
  <c r="AR140" i="5"/>
  <c r="AQ112" i="5"/>
  <c r="AR112" i="5"/>
  <c r="AQ482" i="5"/>
  <c r="AQ178" i="5"/>
  <c r="BI178" i="5"/>
  <c r="BJ178" i="5" s="1"/>
  <c r="BI270" i="5"/>
  <c r="BK270" i="5" s="1"/>
  <c r="BI80" i="5"/>
  <c r="BK80" i="5" s="1"/>
  <c r="AR535" i="5"/>
  <c r="BI535" i="5"/>
  <c r="BK535" i="5" s="1"/>
  <c r="AR80" i="5"/>
  <c r="AQ270" i="5"/>
  <c r="AQ338" i="5"/>
  <c r="BI338" i="5"/>
  <c r="BJ338" i="5" s="1"/>
  <c r="AR193" i="5"/>
  <c r="BI193" i="5"/>
  <c r="BJ193" i="5" s="1"/>
  <c r="AR438" i="5"/>
  <c r="AQ183" i="5"/>
  <c r="AQ418" i="5"/>
  <c r="AQ23" i="5"/>
  <c r="AQ473" i="5"/>
  <c r="AR23" i="5"/>
  <c r="AR473" i="5"/>
  <c r="BI418" i="5"/>
  <c r="BJ418" i="5" s="1"/>
  <c r="AR19" i="5"/>
  <c r="AR417" i="5"/>
  <c r="AR216" i="5"/>
  <c r="AQ216" i="5"/>
  <c r="AQ417" i="5"/>
  <c r="AR146" i="5"/>
  <c r="AQ438" i="5"/>
  <c r="AR183" i="5"/>
  <c r="AR399" i="5"/>
  <c r="BI274" i="5"/>
  <c r="BK274" i="5" s="1"/>
  <c r="AR253" i="5"/>
  <c r="AR138" i="5"/>
  <c r="AQ138" i="5"/>
  <c r="AQ117" i="5"/>
  <c r="BI397" i="5"/>
  <c r="BJ397" i="5" s="1"/>
  <c r="BI117" i="5"/>
  <c r="BJ117" i="5" s="1"/>
  <c r="AQ228" i="5"/>
  <c r="AR184" i="5"/>
  <c r="AQ184" i="5"/>
  <c r="AQ397" i="5"/>
  <c r="AR160" i="5"/>
  <c r="AR227" i="5"/>
  <c r="AQ160" i="5"/>
  <c r="BI227" i="5"/>
  <c r="BJ227" i="5" s="1"/>
  <c r="BI228" i="5"/>
  <c r="BJ228" i="5" s="1"/>
  <c r="BI250" i="5"/>
  <c r="BJ250" i="5" s="1"/>
  <c r="AQ250" i="5"/>
  <c r="AR368" i="5"/>
  <c r="AR472" i="5"/>
  <c r="AR286" i="5"/>
  <c r="AQ399" i="5"/>
  <c r="BI368" i="5"/>
  <c r="BJ368" i="5" s="1"/>
  <c r="BI243" i="5"/>
  <c r="BJ243" i="5" s="1"/>
  <c r="AR243" i="5"/>
  <c r="AQ286" i="5"/>
  <c r="AQ274" i="5"/>
  <c r="BI202" i="5"/>
  <c r="BJ202" i="5" s="1"/>
  <c r="AQ472" i="5"/>
  <c r="BI241" i="5"/>
  <c r="BJ241" i="5" s="1"/>
  <c r="AR306" i="5"/>
  <c r="AQ306" i="5"/>
  <c r="AQ275" i="5"/>
  <c r="AQ131" i="5"/>
  <c r="AQ445" i="5"/>
  <c r="AR467" i="5"/>
  <c r="AQ98" i="5"/>
  <c r="AR98" i="5"/>
  <c r="AR230" i="5"/>
  <c r="BI363" i="5"/>
  <c r="BJ363" i="5" s="1"/>
  <c r="AQ363" i="5"/>
  <c r="BI253" i="5"/>
  <c r="BJ253" i="5" s="1"/>
  <c r="BI164" i="5"/>
  <c r="BJ164" i="5" s="1"/>
  <c r="AR218" i="5"/>
  <c r="BI230" i="5"/>
  <c r="BK230" i="5" s="1"/>
  <c r="BI200" i="5"/>
  <c r="BK200" i="5" s="1"/>
  <c r="BI358" i="5"/>
  <c r="BK358" i="5" s="1"/>
  <c r="BI105" i="5"/>
  <c r="BJ105" i="5" s="1"/>
  <c r="AQ528" i="5"/>
  <c r="AR445" i="5"/>
  <c r="BI246" i="5"/>
  <c r="BK246" i="5" s="1"/>
  <c r="AQ246" i="5"/>
  <c r="BI282" i="5"/>
  <c r="BJ282" i="5" s="1"/>
  <c r="BI285" i="5"/>
  <c r="BJ285" i="5" s="1"/>
  <c r="BI560" i="5"/>
  <c r="BK560" i="5" s="1"/>
  <c r="AQ101" i="5"/>
  <c r="AR429" i="5"/>
  <c r="AR285" i="5"/>
  <c r="AR560" i="5"/>
  <c r="AQ47" i="5"/>
  <c r="AR101" i="5"/>
  <c r="AQ324" i="5"/>
  <c r="AR174" i="5"/>
  <c r="BI324" i="5"/>
  <c r="BJ324" i="5" s="1"/>
  <c r="BI528" i="5"/>
  <c r="BJ528" i="5" s="1"/>
  <c r="AR358" i="5"/>
  <c r="BI237" i="5"/>
  <c r="BK237" i="5" s="1"/>
  <c r="AR105" i="5"/>
  <c r="AR29" i="5"/>
  <c r="Z127" i="4"/>
  <c r="AK127" i="4" s="1"/>
  <c r="AL127" i="4" s="1"/>
  <c r="AR237" i="5"/>
  <c r="AR153" i="5"/>
  <c r="AR235" i="5"/>
  <c r="AQ39" i="5"/>
  <c r="AR131" i="5"/>
  <c r="AR499" i="5"/>
  <c r="BI39" i="5"/>
  <c r="BJ39" i="5" s="1"/>
  <c r="BI70" i="5"/>
  <c r="BK70" i="5" s="1"/>
  <c r="BI244" i="5"/>
  <c r="BK244" i="5" s="1"/>
  <c r="AR111" i="5"/>
  <c r="BI171" i="5"/>
  <c r="BK171" i="5" s="1"/>
  <c r="AQ135" i="5"/>
  <c r="AR261" i="5"/>
  <c r="AQ546" i="5"/>
  <c r="AQ499" i="5"/>
  <c r="BI132" i="5"/>
  <c r="BJ132" i="5" s="1"/>
  <c r="AR143" i="5"/>
  <c r="AQ132" i="5"/>
  <c r="BI143" i="5"/>
  <c r="BJ143" i="5" s="1"/>
  <c r="AR545" i="5"/>
  <c r="AR344" i="5"/>
  <c r="AR135" i="5"/>
  <c r="AQ235" i="5"/>
  <c r="AQ526" i="5"/>
  <c r="AR96" i="5"/>
  <c r="BI545" i="5"/>
  <c r="BJ545" i="5" s="1"/>
  <c r="AR217" i="5"/>
  <c r="BI281" i="5"/>
  <c r="BK281" i="5" s="1"/>
  <c r="BI526" i="5"/>
  <c r="BJ526" i="5" s="1"/>
  <c r="BI96" i="5"/>
  <c r="BJ96" i="5" s="1"/>
  <c r="AQ217" i="5"/>
  <c r="AQ281" i="5"/>
  <c r="AR305" i="5"/>
  <c r="BI340" i="5"/>
  <c r="BJ340" i="5" s="1"/>
  <c r="BI272" i="5"/>
  <c r="BK272" i="5" s="1"/>
  <c r="AR272" i="5"/>
  <c r="AQ407" i="5"/>
  <c r="AR407" i="5"/>
  <c r="AR20" i="5"/>
  <c r="AQ410" i="5"/>
  <c r="BI20" i="5"/>
  <c r="BK20" i="5" s="1"/>
  <c r="Z130" i="4"/>
  <c r="AF130" i="4" s="1"/>
  <c r="AG130" i="4" s="1"/>
  <c r="AI130" i="4" s="1"/>
  <c r="BI410" i="5"/>
  <c r="BJ410" i="5" s="1"/>
  <c r="AQ29" i="5"/>
  <c r="AQ174" i="5"/>
  <c r="AQ70" i="5"/>
  <c r="AR149" i="5"/>
  <c r="BI344" i="5"/>
  <c r="BJ344" i="5" s="1"/>
  <c r="AR171" i="5"/>
  <c r="AQ305" i="5"/>
  <c r="AQ149" i="5"/>
  <c r="AQ483" i="5"/>
  <c r="AQ111" i="5"/>
  <c r="AQ395" i="5"/>
  <c r="AQ257" i="5"/>
  <c r="AQ161" i="5"/>
  <c r="BI192" i="5"/>
  <c r="BJ192" i="5" s="1"/>
  <c r="AR409" i="5"/>
  <c r="AR192" i="5"/>
  <c r="AR257" i="5"/>
  <c r="AQ220" i="5"/>
  <c r="BI516" i="5"/>
  <c r="BK516" i="5" s="1"/>
  <c r="AQ172" i="5"/>
  <c r="AR483" i="5"/>
  <c r="AR172" i="5"/>
  <c r="AQ223" i="5"/>
  <c r="AR32" i="5"/>
  <c r="AR277" i="5"/>
  <c r="BI32" i="5"/>
  <c r="BJ32" i="5" s="1"/>
  <c r="AR222" i="5"/>
  <c r="AR355" i="5"/>
  <c r="BI277" i="5"/>
  <c r="BJ277" i="5" s="1"/>
  <c r="AQ222" i="5"/>
  <c r="BI355" i="5"/>
  <c r="BJ355" i="5" s="1"/>
  <c r="BI389" i="5"/>
  <c r="BJ389" i="5" s="1"/>
  <c r="AR466" i="5"/>
  <c r="AR389" i="5"/>
  <c r="BI466" i="5"/>
  <c r="BJ466" i="5" s="1"/>
  <c r="AA130" i="4"/>
  <c r="AP130" i="4" s="1"/>
  <c r="BI515" i="5"/>
  <c r="BJ515" i="5" s="1"/>
  <c r="AR515" i="5"/>
  <c r="BI501" i="5"/>
  <c r="BK501" i="5" s="1"/>
  <c r="AQ282" i="5"/>
  <c r="BI471" i="5"/>
  <c r="BK471" i="5" s="1"/>
  <c r="BI64" i="5"/>
  <c r="BJ64" i="5" s="1"/>
  <c r="AR220" i="5"/>
  <c r="AR64" i="5"/>
  <c r="BI512" i="5"/>
  <c r="BJ512" i="5" s="1"/>
  <c r="AR48" i="5"/>
  <c r="AR231" i="5"/>
  <c r="AQ493" i="5"/>
  <c r="AR373" i="5"/>
  <c r="AQ52" i="5"/>
  <c r="BI231" i="5"/>
  <c r="BK231" i="5" s="1"/>
  <c r="BI224" i="5"/>
  <c r="BJ224" i="5" s="1"/>
  <c r="BI439" i="5"/>
  <c r="BK439" i="5" s="1"/>
  <c r="AQ373" i="5"/>
  <c r="AQ224" i="5"/>
  <c r="AR375" i="5"/>
  <c r="AR321" i="5"/>
  <c r="BI375" i="5"/>
  <c r="BJ375" i="5" s="1"/>
  <c r="BI321" i="5"/>
  <c r="BK321" i="5" s="1"/>
  <c r="AR475" i="5"/>
  <c r="BI475" i="5"/>
  <c r="BK475" i="5" s="1"/>
  <c r="AQ323" i="5"/>
  <c r="AQ518" i="5"/>
  <c r="AR202" i="5"/>
  <c r="AR331" i="5"/>
  <c r="AQ468" i="5"/>
  <c r="BI468" i="5"/>
  <c r="BK468" i="5" s="1"/>
  <c r="BI173" i="5"/>
  <c r="BK173" i="5" s="1"/>
  <c r="AQ471" i="5"/>
  <c r="AR177" i="5"/>
  <c r="AQ241" i="5"/>
  <c r="AR298" i="5"/>
  <c r="BI177" i="5"/>
  <c r="BK177" i="5" s="1"/>
  <c r="BI298" i="5"/>
  <c r="BK298" i="5" s="1"/>
  <c r="AQ43" i="5"/>
  <c r="BI478" i="5"/>
  <c r="BJ478" i="5" s="1"/>
  <c r="AQ212" i="5"/>
  <c r="AR478" i="5"/>
  <c r="AR541" i="5"/>
  <c r="AQ491" i="5"/>
  <c r="AQ541" i="5"/>
  <c r="BI43" i="5"/>
  <c r="BK43" i="5" s="1"/>
  <c r="BI21" i="5"/>
  <c r="BJ21" i="5" s="1"/>
  <c r="AQ21" i="5"/>
  <c r="AR268" i="5"/>
  <c r="AQ63" i="5"/>
  <c r="AR345" i="5"/>
  <c r="Z58" i="4"/>
  <c r="X58" i="4" s="1"/>
  <c r="AJ58" i="4" s="1"/>
  <c r="AR242" i="5"/>
  <c r="AR518" i="5"/>
  <c r="AQ331" i="5"/>
  <c r="AR323" i="5"/>
  <c r="AR379" i="5"/>
  <c r="AQ453" i="5"/>
  <c r="AR170" i="5"/>
  <c r="AR453" i="5"/>
  <c r="AR82" i="5"/>
  <c r="BI82" i="5"/>
  <c r="BK82" i="5" s="1"/>
  <c r="AR428" i="5"/>
  <c r="BI544" i="5"/>
  <c r="BJ544" i="5" s="1"/>
  <c r="BI428" i="5"/>
  <c r="BK428" i="5" s="1"/>
  <c r="BI442" i="5"/>
  <c r="BJ442" i="5" s="1"/>
  <c r="AQ442" i="5"/>
  <c r="AQ544" i="5"/>
  <c r="AR434" i="5"/>
  <c r="AR40" i="5"/>
  <c r="BI434" i="5"/>
  <c r="BK434" i="5" s="1"/>
  <c r="BI40" i="5"/>
  <c r="BK40" i="5" s="1"/>
  <c r="AR480" i="5"/>
  <c r="AR406" i="5"/>
  <c r="BI480" i="5"/>
  <c r="BK480" i="5" s="1"/>
  <c r="AQ406" i="5"/>
  <c r="BI365" i="5"/>
  <c r="BJ365" i="5" s="1"/>
  <c r="AQ365" i="5"/>
  <c r="AQ201" i="5"/>
  <c r="BI463" i="5"/>
  <c r="BK463" i="5" s="1"/>
  <c r="BI361" i="5"/>
  <c r="BJ361" i="5" s="1"/>
  <c r="AR361" i="5"/>
  <c r="AR166" i="5"/>
  <c r="AQ379" i="5"/>
  <c r="AQ170" i="5"/>
  <c r="AR431" i="5"/>
  <c r="AR339" i="5"/>
  <c r="AQ431" i="5"/>
  <c r="AQ339" i="5"/>
  <c r="BI391" i="5"/>
  <c r="BK391" i="5" s="1"/>
  <c r="AQ391" i="5"/>
  <c r="AQ521" i="5"/>
  <c r="BI521" i="5"/>
  <c r="BJ521" i="5" s="1"/>
  <c r="AR167" i="5"/>
  <c r="AR78" i="5"/>
  <c r="BI167" i="5"/>
  <c r="BJ167" i="5" s="1"/>
  <c r="AR501" i="5"/>
  <c r="AQ137" i="5"/>
  <c r="BI137" i="5"/>
  <c r="BK137" i="5" s="1"/>
  <c r="AQ414" i="5"/>
  <c r="BI414" i="5"/>
  <c r="BK414" i="5" s="1"/>
  <c r="AR449" i="5"/>
  <c r="BI449" i="5"/>
  <c r="BJ449" i="5" s="1"/>
  <c r="AR356" i="5"/>
  <c r="AQ263" i="5"/>
  <c r="AR330" i="5"/>
  <c r="BI336" i="5"/>
  <c r="BJ336" i="5" s="1"/>
  <c r="AQ345" i="5"/>
  <c r="AR336" i="5"/>
  <c r="BI52" i="5"/>
  <c r="BJ52" i="5" s="1"/>
  <c r="BI146" i="5"/>
  <c r="BJ146" i="5" s="1"/>
  <c r="AQ158" i="5"/>
  <c r="AR213" i="5"/>
  <c r="AQ279" i="5"/>
  <c r="BI213" i="5"/>
  <c r="BJ213" i="5" s="1"/>
  <c r="BI141" i="5"/>
  <c r="BK141" i="5" s="1"/>
  <c r="AR287" i="5"/>
  <c r="BI330" i="5"/>
  <c r="BJ330" i="5" s="1"/>
  <c r="AQ141" i="5"/>
  <c r="AA86" i="4"/>
  <c r="AP86" i="4" s="1"/>
  <c r="AQ467" i="5"/>
  <c r="BI287" i="5"/>
  <c r="BK287" i="5" s="1"/>
  <c r="AQ356" i="5"/>
  <c r="AR92" i="5"/>
  <c r="BI92" i="5"/>
  <c r="BK92" i="5" s="1"/>
  <c r="BI85" i="5"/>
  <c r="BK85" i="5" s="1"/>
  <c r="AQ163" i="5"/>
  <c r="Z86" i="4"/>
  <c r="AN86" i="4" s="1"/>
  <c r="BI108" i="5"/>
  <c r="BJ108" i="5" s="1"/>
  <c r="AQ229" i="5"/>
  <c r="AR367" i="5"/>
  <c r="BI292" i="5"/>
  <c r="BK292" i="5" s="1"/>
  <c r="BI367" i="5"/>
  <c r="BJ367" i="5" s="1"/>
  <c r="AR108" i="5"/>
  <c r="AR181" i="5"/>
  <c r="BI229" i="5"/>
  <c r="BK229" i="5" s="1"/>
  <c r="AR292" i="5"/>
  <c r="BI432" i="5"/>
  <c r="BK432" i="5" s="1"/>
  <c r="AQ476" i="5"/>
  <c r="BI181" i="5"/>
  <c r="BK181" i="5" s="1"/>
  <c r="AQ432" i="5"/>
  <c r="BI476" i="5"/>
  <c r="BK476" i="5" s="1"/>
  <c r="AQ214" i="5"/>
  <c r="AR304" i="5"/>
  <c r="AQ304" i="5"/>
  <c r="BI106" i="5"/>
  <c r="BJ106" i="5" s="1"/>
  <c r="AR106" i="5"/>
  <c r="AQ369" i="5"/>
  <c r="BI8" i="5"/>
  <c r="BJ8" i="5" s="1"/>
  <c r="AR401" i="5"/>
  <c r="AQ401" i="5"/>
  <c r="AR47" i="5"/>
  <c r="AQ244" i="5"/>
  <c r="BI162" i="5"/>
  <c r="BK162" i="5" s="1"/>
  <c r="BI261" i="5"/>
  <c r="BK261" i="5" s="1"/>
  <c r="AR8" i="5"/>
  <c r="AQ489" i="5"/>
  <c r="AQ429" i="5"/>
  <c r="BI71" i="5"/>
  <c r="BK71" i="5" s="1"/>
  <c r="BI421" i="5"/>
  <c r="BK421" i="5" s="1"/>
  <c r="AR489" i="5"/>
  <c r="AQ71" i="5"/>
  <c r="AR421" i="5"/>
  <c r="AR546" i="5"/>
  <c r="AR289" i="5"/>
  <c r="AQ289" i="5"/>
  <c r="BI487" i="5"/>
  <c r="BK487" i="5" s="1"/>
  <c r="AQ470" i="5"/>
  <c r="AQ487" i="5"/>
  <c r="AQ164" i="5"/>
  <c r="AR275" i="5"/>
  <c r="AR161" i="5"/>
  <c r="AR259" i="5"/>
  <c r="AR516" i="5"/>
  <c r="BI259" i="5"/>
  <c r="BK259" i="5" s="1"/>
  <c r="AR223" i="5"/>
  <c r="BI486" i="5"/>
  <c r="BJ486" i="5" s="1"/>
  <c r="AR557" i="5"/>
  <c r="AR454" i="5"/>
  <c r="AQ119" i="5"/>
  <c r="AQ486" i="5"/>
  <c r="BI557" i="5"/>
  <c r="BK557" i="5" s="1"/>
  <c r="BI76" i="5"/>
  <c r="BK76" i="5" s="1"/>
  <c r="AR119" i="5"/>
  <c r="BI402" i="5"/>
  <c r="BK402" i="5" s="1"/>
  <c r="AQ76" i="5"/>
  <c r="AR118" i="5"/>
  <c r="AR85" i="5"/>
  <c r="BI158" i="5"/>
  <c r="BK158" i="5" s="1"/>
  <c r="BI279" i="5"/>
  <c r="BK279" i="5" s="1"/>
  <c r="BI346" i="5"/>
  <c r="BK346" i="5" s="1"/>
  <c r="BI133" i="5"/>
  <c r="BK133" i="5" s="1"/>
  <c r="BI74" i="5"/>
  <c r="BJ74" i="5" s="1"/>
  <c r="BI303" i="5"/>
  <c r="BJ303" i="5" s="1"/>
  <c r="AQ133" i="5"/>
  <c r="AQ242" i="5"/>
  <c r="AQ74" i="5"/>
  <c r="AR27" i="5"/>
  <c r="AR491" i="5"/>
  <c r="BI214" i="5"/>
  <c r="BK214" i="5" s="1"/>
  <c r="AQ27" i="5"/>
  <c r="BI63" i="5"/>
  <c r="BJ63" i="5" s="1"/>
  <c r="BI268" i="5"/>
  <c r="BK268" i="5" s="1"/>
  <c r="AR481" i="5"/>
  <c r="BI481" i="5"/>
  <c r="BK481" i="5" s="1"/>
  <c r="BI212" i="5"/>
  <c r="BK212" i="5" s="1"/>
  <c r="AQ150" i="5"/>
  <c r="BI150" i="5"/>
  <c r="BJ150" i="5" s="1"/>
  <c r="AQ55" i="5"/>
  <c r="BI514" i="5"/>
  <c r="BJ514" i="5" s="1"/>
  <c r="AR55" i="5"/>
  <c r="AQ514" i="5"/>
  <c r="BI532" i="5"/>
  <c r="BJ532" i="5" s="1"/>
  <c r="BI42" i="5"/>
  <c r="BK42" i="5" s="1"/>
  <c r="AR532" i="5"/>
  <c r="AQ42" i="5"/>
  <c r="AQ12" i="5"/>
  <c r="BI194" i="5"/>
  <c r="BK194" i="5" s="1"/>
  <c r="AQ194" i="5"/>
  <c r="AQ179" i="5"/>
  <c r="AQ208" i="5"/>
  <c r="AQ88" i="5"/>
  <c r="BI201" i="5"/>
  <c r="BJ201" i="5" s="1"/>
  <c r="BI78" i="5"/>
  <c r="BJ78" i="5" s="1"/>
  <c r="AR403" i="5"/>
  <c r="AQ303" i="5"/>
  <c r="AQ403" i="5"/>
  <c r="AQ182" i="5"/>
  <c r="AR182" i="5"/>
  <c r="AQ326" i="5"/>
  <c r="BI24" i="5"/>
  <c r="BK24" i="5" s="1"/>
  <c r="AQ24" i="5"/>
  <c r="AR370" i="5"/>
  <c r="BI126" i="5"/>
  <c r="BJ126" i="5" s="1"/>
  <c r="BI203" i="5"/>
  <c r="BJ203" i="5" s="1"/>
  <c r="AR424" i="5"/>
  <c r="AR126" i="5"/>
  <c r="AR346" i="5"/>
  <c r="AR203" i="5"/>
  <c r="BI12" i="5"/>
  <c r="BJ12" i="5" s="1"/>
  <c r="AR513" i="5"/>
  <c r="AQ302" i="5"/>
  <c r="BI291" i="5"/>
  <c r="BJ291" i="5" s="1"/>
  <c r="AQ173" i="5"/>
  <c r="BI88" i="5"/>
  <c r="BJ88" i="5" s="1"/>
  <c r="BI376" i="5"/>
  <c r="BK376" i="5" s="1"/>
  <c r="AR477" i="5"/>
  <c r="AR376" i="5"/>
  <c r="AR10" i="5"/>
  <c r="BI326" i="5"/>
  <c r="BJ326" i="5" s="1"/>
  <c r="AQ536" i="5"/>
  <c r="BI536" i="5"/>
  <c r="BJ536" i="5" s="1"/>
  <c r="AQ333" i="5"/>
  <c r="BI318" i="5"/>
  <c r="BK318" i="5" s="1"/>
  <c r="BI443" i="5"/>
  <c r="BJ443" i="5" s="1"/>
  <c r="AQ553" i="5"/>
  <c r="BI374" i="5"/>
  <c r="BJ374" i="5" s="1"/>
  <c r="AR208" i="5"/>
  <c r="AA145" i="4"/>
  <c r="AP145" i="4" s="1"/>
  <c r="AQ374" i="5"/>
  <c r="AQ19" i="5"/>
  <c r="BI302" i="5"/>
  <c r="BJ302" i="5" s="1"/>
  <c r="AR342" i="5"/>
  <c r="BI342" i="5"/>
  <c r="BK342" i="5" s="1"/>
  <c r="AR380" i="5"/>
  <c r="AR329" i="5"/>
  <c r="AR510" i="5"/>
  <c r="BI380" i="5"/>
  <c r="BK380" i="5" s="1"/>
  <c r="BI329" i="5"/>
  <c r="BJ329" i="5" s="1"/>
  <c r="AR496" i="5"/>
  <c r="BI510" i="5"/>
  <c r="BK510" i="5" s="1"/>
  <c r="BI496" i="5"/>
  <c r="BK496" i="5" s="1"/>
  <c r="AQ205" i="5"/>
  <c r="BI205" i="5"/>
  <c r="BJ205" i="5" s="1"/>
  <c r="AQ511" i="5"/>
  <c r="BI136" i="5"/>
  <c r="BJ136" i="5" s="1"/>
  <c r="AR366" i="5"/>
  <c r="BI511" i="5"/>
  <c r="BJ511" i="5" s="1"/>
  <c r="AQ136" i="5"/>
  <c r="BI366" i="5"/>
  <c r="BJ366" i="5" s="1"/>
  <c r="AR436" i="5"/>
  <c r="AQ26" i="5"/>
  <c r="AR256" i="5"/>
  <c r="BI256" i="5"/>
  <c r="BK256" i="5" s="1"/>
  <c r="AA131" i="4"/>
  <c r="AP131" i="4" s="1"/>
  <c r="AQ436" i="5"/>
  <c r="AR490" i="5"/>
  <c r="AR26" i="5"/>
  <c r="AQ533" i="5"/>
  <c r="Z131" i="4"/>
  <c r="AK131" i="4" s="1"/>
  <c r="AL131" i="4" s="1"/>
  <c r="AR509" i="5"/>
  <c r="AR382" i="5"/>
  <c r="AQ490" i="5"/>
  <c r="BI533" i="5"/>
  <c r="BK533" i="5" s="1"/>
  <c r="BI28" i="5"/>
  <c r="BJ28" i="5" s="1"/>
  <c r="AQ509" i="5"/>
  <c r="BI382" i="5"/>
  <c r="BK382" i="5" s="1"/>
  <c r="AR168" i="5"/>
  <c r="AA123" i="4"/>
  <c r="AP123" i="4" s="1"/>
  <c r="AR122" i="5"/>
  <c r="AR28" i="5"/>
  <c r="AR412" i="5"/>
  <c r="BI525" i="5"/>
  <c r="BJ525" i="5" s="1"/>
  <c r="AQ122" i="5"/>
  <c r="AR553" i="5"/>
  <c r="AQ412" i="5"/>
  <c r="BI290" i="5"/>
  <c r="BK290" i="5" s="1"/>
  <c r="AR525" i="5"/>
  <c r="Z145" i="4"/>
  <c r="AF145" i="4" s="1"/>
  <c r="AG145" i="4" s="1"/>
  <c r="AI145" i="4" s="1"/>
  <c r="Z123" i="4"/>
  <c r="AK123" i="4" s="1"/>
  <c r="AL123" i="4" s="1"/>
  <c r="BI190" i="5"/>
  <c r="BK190" i="5" s="1"/>
  <c r="AQ190" i="5"/>
  <c r="BI276" i="5"/>
  <c r="BJ276" i="5" s="1"/>
  <c r="AR392" i="5"/>
  <c r="AR276" i="5"/>
  <c r="AR139" i="5"/>
  <c r="AQ139" i="5"/>
  <c r="BI441" i="5"/>
  <c r="BJ441" i="5" s="1"/>
  <c r="AR156" i="5"/>
  <c r="BI477" i="5"/>
  <c r="BK477" i="5" s="1"/>
  <c r="AQ318" i="5"/>
  <c r="AR296" i="5"/>
  <c r="AR517" i="5"/>
  <c r="BI400" i="5"/>
  <c r="BJ400" i="5" s="1"/>
  <c r="AR519" i="5"/>
  <c r="AR254" i="5"/>
  <c r="AQ390" i="5"/>
  <c r="AQ517" i="5"/>
  <c r="AQ319" i="5"/>
  <c r="AQ48" i="5"/>
  <c r="AQ60" i="5"/>
  <c r="BI493" i="5"/>
  <c r="BJ493" i="5" s="1"/>
  <c r="AQ400" i="5"/>
  <c r="AR512" i="5"/>
  <c r="AQ254" i="5"/>
  <c r="AR319" i="5"/>
  <c r="BI424" i="5"/>
  <c r="BJ424" i="5" s="1"/>
  <c r="BI60" i="5"/>
  <c r="BK60" i="5" s="1"/>
  <c r="AQ513" i="5"/>
  <c r="AR110" i="5"/>
  <c r="AQ348" i="5"/>
  <c r="AQ278" i="5"/>
  <c r="BI317" i="5"/>
  <c r="BK317" i="5" s="1"/>
  <c r="BI295" i="5"/>
  <c r="BK295" i="5" s="1"/>
  <c r="BI110" i="5"/>
  <c r="BJ110" i="5" s="1"/>
  <c r="BI348" i="5"/>
  <c r="BJ348" i="5" s="1"/>
  <c r="AQ322" i="5"/>
  <c r="AR317" i="5"/>
  <c r="AR460" i="5"/>
  <c r="AR295" i="5"/>
  <c r="AR207" i="5"/>
  <c r="AR191" i="5"/>
  <c r="AQ530" i="5"/>
  <c r="AA125" i="4"/>
  <c r="AC125" i="4" s="1"/>
  <c r="AD125" i="4" s="1"/>
  <c r="AQ207" i="5"/>
  <c r="BI191" i="5"/>
  <c r="BJ191" i="5" s="1"/>
  <c r="AR530" i="5"/>
  <c r="AQ301" i="5"/>
  <c r="BI537" i="5"/>
  <c r="BK537" i="5" s="1"/>
  <c r="AR441" i="5"/>
  <c r="BI83" i="5"/>
  <c r="BK83" i="5" s="1"/>
  <c r="BI301" i="5"/>
  <c r="BK301" i="5" s="1"/>
  <c r="AQ264" i="5"/>
  <c r="AQ537" i="5"/>
  <c r="AQ83" i="5"/>
  <c r="AQ234" i="5"/>
  <c r="BI405" i="5"/>
  <c r="BJ405" i="5" s="1"/>
  <c r="BI264" i="5"/>
  <c r="BK264" i="5" s="1"/>
  <c r="AQ233" i="5"/>
  <c r="AR234" i="5"/>
  <c r="AR364" i="5"/>
  <c r="AR435" i="5"/>
  <c r="AR420" i="5"/>
  <c r="AR309" i="5"/>
  <c r="AR405" i="5"/>
  <c r="BI233" i="5"/>
  <c r="BK233" i="5" s="1"/>
  <c r="BI495" i="5"/>
  <c r="BK495" i="5" s="1"/>
  <c r="AQ435" i="5"/>
  <c r="AQ420" i="5"/>
  <c r="Z109" i="4"/>
  <c r="AK109" i="4" s="1"/>
  <c r="AL109" i="4" s="1"/>
  <c r="AQ309" i="5"/>
  <c r="BI447" i="5"/>
  <c r="BK447" i="5" s="1"/>
  <c r="AR114" i="5"/>
  <c r="AR25" i="5"/>
  <c r="AQ495" i="5"/>
  <c r="AR447" i="5"/>
  <c r="AQ114" i="5"/>
  <c r="AR87" i="5"/>
  <c r="AR278" i="5"/>
  <c r="AQ430" i="5"/>
  <c r="BI542" i="5"/>
  <c r="BJ542" i="5" s="1"/>
  <c r="AQ271" i="5"/>
  <c r="BI25" i="5"/>
  <c r="BJ25" i="5" s="1"/>
  <c r="AR465" i="5"/>
  <c r="AR430" i="5"/>
  <c r="AQ542" i="5"/>
  <c r="AR271" i="5"/>
  <c r="BI238" i="5"/>
  <c r="BJ238" i="5" s="1"/>
  <c r="AQ87" i="5"/>
  <c r="BI460" i="5"/>
  <c r="BJ460" i="5" s="1"/>
  <c r="AQ465" i="5"/>
  <c r="AQ238" i="5"/>
  <c r="AQ283" i="5"/>
  <c r="AQ79" i="5"/>
  <c r="AQ370" i="5"/>
  <c r="BI390" i="5"/>
  <c r="BJ390" i="5" s="1"/>
  <c r="AR283" i="5"/>
  <c r="AR439" i="5"/>
  <c r="AR37" i="5"/>
  <c r="AQ519" i="5"/>
  <c r="BI163" i="5"/>
  <c r="BK163" i="5" s="1"/>
  <c r="AR147" i="5"/>
  <c r="BI37" i="5"/>
  <c r="BJ37" i="5" s="1"/>
  <c r="AR185" i="5"/>
  <c r="AQ503" i="5"/>
  <c r="AR36" i="5"/>
  <c r="AQ185" i="5"/>
  <c r="AR393" i="5"/>
  <c r="AR448" i="5"/>
  <c r="AQ145" i="5"/>
  <c r="BI322" i="5"/>
  <c r="BJ322" i="5" s="1"/>
  <c r="BI58" i="5"/>
  <c r="BK58" i="5" s="1"/>
  <c r="AR145" i="5"/>
  <c r="AR210" i="5"/>
  <c r="BI153" i="5"/>
  <c r="BK153" i="5" s="1"/>
  <c r="BI269" i="5"/>
  <c r="BJ269" i="5" s="1"/>
  <c r="BI492" i="5"/>
  <c r="BJ492" i="5" s="1"/>
  <c r="BI59" i="5"/>
  <c r="BJ59" i="5" s="1"/>
  <c r="BI349" i="5"/>
  <c r="BJ349" i="5" s="1"/>
  <c r="BI508" i="5"/>
  <c r="BJ508" i="5" s="1"/>
  <c r="AQ349" i="5"/>
  <c r="AR520" i="5"/>
  <c r="AR508" i="5"/>
  <c r="AQ273" i="5"/>
  <c r="BI498" i="5"/>
  <c r="BJ498" i="5" s="1"/>
  <c r="AR273" i="5"/>
  <c r="BI458" i="5"/>
  <c r="BK458" i="5" s="1"/>
  <c r="AA126" i="4"/>
  <c r="AP126" i="4" s="1"/>
  <c r="AR458" i="5"/>
  <c r="BI294" i="5"/>
  <c r="BJ294" i="5" s="1"/>
  <c r="AR469" i="5"/>
  <c r="AR129" i="5"/>
  <c r="AR294" i="5"/>
  <c r="AQ469" i="5"/>
  <c r="BI129" i="5"/>
  <c r="BK129" i="5" s="1"/>
  <c r="AR369" i="5"/>
  <c r="AR335" i="5"/>
  <c r="BI335" i="5"/>
  <c r="BJ335" i="5" s="1"/>
  <c r="AR507" i="5"/>
  <c r="AQ402" i="5"/>
  <c r="BI484" i="5"/>
  <c r="BK484" i="5" s="1"/>
  <c r="AQ65" i="5"/>
  <c r="AR484" i="5"/>
  <c r="BI65" i="5"/>
  <c r="BK65" i="5" s="1"/>
  <c r="AQ360" i="5"/>
  <c r="BI35" i="5"/>
  <c r="BJ35" i="5" s="1"/>
  <c r="Z148" i="4"/>
  <c r="AN148" i="4" s="1"/>
  <c r="BI300" i="5"/>
  <c r="BK300" i="5" s="1"/>
  <c r="AR196" i="5"/>
  <c r="Z126" i="4"/>
  <c r="AK126" i="4" s="1"/>
  <c r="AL126" i="4" s="1"/>
  <c r="BI360" i="5"/>
  <c r="BK360" i="5" s="1"/>
  <c r="BI393" i="5"/>
  <c r="BJ393" i="5" s="1"/>
  <c r="AQ35" i="5"/>
  <c r="AR204" i="5"/>
  <c r="AR300" i="5"/>
  <c r="AQ196" i="5"/>
  <c r="AQ66" i="5"/>
  <c r="BI459" i="5"/>
  <c r="BJ459" i="5" s="1"/>
  <c r="AR395" i="5"/>
  <c r="BI503" i="5"/>
  <c r="BJ503" i="5" s="1"/>
  <c r="AR450" i="5"/>
  <c r="AR459" i="5"/>
  <c r="AQ56" i="5"/>
  <c r="AQ364" i="5"/>
  <c r="AR506" i="5"/>
  <c r="BI555" i="5"/>
  <c r="BK555" i="5" s="1"/>
  <c r="AQ123" i="5"/>
  <c r="AQ320" i="5"/>
  <c r="BI180" i="5"/>
  <c r="BJ180" i="5" s="1"/>
  <c r="AQ147" i="5"/>
  <c r="AR498" i="5"/>
  <c r="AR123" i="5"/>
  <c r="AR320" i="5"/>
  <c r="AQ245" i="5"/>
  <c r="AQ45" i="5"/>
  <c r="AQ538" i="5"/>
  <c r="AQ180" i="5"/>
  <c r="AR245" i="5"/>
  <c r="AR134" i="5"/>
  <c r="AR538" i="5"/>
  <c r="BI56" i="5"/>
  <c r="BK56" i="5" s="1"/>
  <c r="AR451" i="5"/>
  <c r="BI310" i="5"/>
  <c r="BK310" i="5" s="1"/>
  <c r="BI506" i="5"/>
  <c r="BJ506" i="5" s="1"/>
  <c r="AQ69" i="5"/>
  <c r="BI427" i="5"/>
  <c r="BJ427" i="5" s="1"/>
  <c r="BI488" i="5"/>
  <c r="BJ488" i="5" s="1"/>
  <c r="AQ451" i="5"/>
  <c r="AR310" i="5"/>
  <c r="BI69" i="5"/>
  <c r="BJ69" i="5" s="1"/>
  <c r="AR67" i="5"/>
  <c r="AQ134" i="5"/>
  <c r="AQ86" i="5"/>
  <c r="AQ422" i="5"/>
  <c r="BI34" i="5"/>
  <c r="BK34" i="5" s="1"/>
  <c r="AQ488" i="5"/>
  <c r="AR427" i="5"/>
  <c r="AA154" i="4"/>
  <c r="AC154" i="4" s="1"/>
  <c r="AD154" i="4" s="1"/>
  <c r="AQ354" i="5"/>
  <c r="BI67" i="5"/>
  <c r="BK67" i="5" s="1"/>
  <c r="AR383" i="5"/>
  <c r="AQ81" i="5"/>
  <c r="BI378" i="5"/>
  <c r="BK378" i="5" s="1"/>
  <c r="AQ41" i="5"/>
  <c r="AR422" i="5"/>
  <c r="BI296" i="5"/>
  <c r="BJ296" i="5" s="1"/>
  <c r="AR34" i="5"/>
  <c r="AQ550" i="5"/>
  <c r="BI62" i="5"/>
  <c r="BJ62" i="5" s="1"/>
  <c r="Z154" i="4"/>
  <c r="AK154" i="4" s="1"/>
  <c r="AL154" i="4" s="1"/>
  <c r="BI354" i="5"/>
  <c r="BK354" i="5" s="1"/>
  <c r="BI413" i="5"/>
  <c r="BK413" i="5" s="1"/>
  <c r="AQ384" i="5"/>
  <c r="AQ383" i="5"/>
  <c r="AQ44" i="5"/>
  <c r="AR81" i="5"/>
  <c r="AR107" i="5"/>
  <c r="BI251" i="5"/>
  <c r="BK251" i="5" s="1"/>
  <c r="AQ332" i="5"/>
  <c r="AQ555" i="5"/>
  <c r="AR550" i="5"/>
  <c r="AQ62" i="5"/>
  <c r="AQ413" i="5"/>
  <c r="AR384" i="5"/>
  <c r="BI455" i="5"/>
  <c r="BJ455" i="5" s="1"/>
  <c r="AQ251" i="5"/>
  <c r="AQ534" i="5"/>
  <c r="AQ99" i="5"/>
  <c r="AR387" i="5"/>
  <c r="AQ221" i="5"/>
  <c r="BI357" i="5"/>
  <c r="BJ357" i="5" s="1"/>
  <c r="AQ357" i="5"/>
  <c r="AQ520" i="5"/>
  <c r="AQ269" i="5"/>
  <c r="AQ200" i="5"/>
  <c r="BI155" i="5"/>
  <c r="BK155" i="5" s="1"/>
  <c r="AQ36" i="5"/>
  <c r="BI157" i="5"/>
  <c r="BK157" i="5" s="1"/>
  <c r="BI232" i="5"/>
  <c r="BJ232" i="5" s="1"/>
  <c r="AR455" i="5"/>
  <c r="AR534" i="5"/>
  <c r="BI99" i="5"/>
  <c r="BK99" i="5" s="1"/>
  <c r="BI387" i="5"/>
  <c r="BJ387" i="5" s="1"/>
  <c r="AR155" i="5"/>
  <c r="AQ157" i="5"/>
  <c r="AR232" i="5"/>
  <c r="BI507" i="5"/>
  <c r="BK507" i="5" s="1"/>
  <c r="BI450" i="5"/>
  <c r="BK450" i="5" s="1"/>
  <c r="BI44" i="5"/>
  <c r="BK44" i="5" s="1"/>
  <c r="BI332" i="5"/>
  <c r="BK332" i="5" s="1"/>
  <c r="AQ492" i="5"/>
  <c r="AQ162" i="5"/>
  <c r="AR41" i="5"/>
  <c r="AQ552" i="5"/>
  <c r="BI263" i="5"/>
  <c r="BJ263" i="5" s="1"/>
  <c r="AQ204" i="5"/>
  <c r="AQ378" i="5"/>
  <c r="AQ113" i="5"/>
  <c r="BI266" i="5"/>
  <c r="BK266" i="5" s="1"/>
  <c r="AR291" i="5"/>
  <c r="BI86" i="5"/>
  <c r="BJ86" i="5" s="1"/>
  <c r="AQ315" i="5"/>
  <c r="AQ95" i="5"/>
  <c r="AQ118" i="5"/>
  <c r="BI325" i="5"/>
  <c r="BK325" i="5" s="1"/>
  <c r="BI75" i="5"/>
  <c r="BK75" i="5" s="1"/>
  <c r="BI552" i="5"/>
  <c r="BJ552" i="5" s="1"/>
  <c r="AR211" i="5"/>
  <c r="AR113" i="5"/>
  <c r="AQ266" i="5"/>
  <c r="AQ199" i="5"/>
  <c r="AQ120" i="5"/>
  <c r="BI95" i="5"/>
  <c r="BJ95" i="5" s="1"/>
  <c r="AR325" i="5"/>
  <c r="AR426" i="5"/>
  <c r="AR75" i="5"/>
  <c r="AQ211" i="5"/>
  <c r="BI426" i="5"/>
  <c r="BK426" i="5" s="1"/>
  <c r="AQ404" i="5"/>
  <c r="AQ258" i="5"/>
  <c r="AR22" i="5"/>
  <c r="BI100" i="5"/>
  <c r="BK100" i="5" s="1"/>
  <c r="BI540" i="5"/>
  <c r="BK540" i="5" s="1"/>
  <c r="BI50" i="5"/>
  <c r="BK50" i="5" s="1"/>
  <c r="BI144" i="5"/>
  <c r="BJ144" i="5" s="1"/>
  <c r="BI404" i="5"/>
  <c r="BK404" i="5" s="1"/>
  <c r="BI258" i="5"/>
  <c r="BK258" i="5" s="1"/>
  <c r="AQ22" i="5"/>
  <c r="AQ100" i="5"/>
  <c r="AQ540" i="5"/>
  <c r="AR50" i="5"/>
  <c r="AQ215" i="5"/>
  <c r="AQ144" i="5"/>
  <c r="AQ293" i="5"/>
  <c r="AR226" i="5"/>
  <c r="AR215" i="5"/>
  <c r="AQ175" i="5"/>
  <c r="BI293" i="5"/>
  <c r="BK293" i="5" s="1"/>
  <c r="AQ297" i="5"/>
  <c r="AR175" i="5"/>
  <c r="AQ527" i="5"/>
  <c r="AQ93" i="5"/>
  <c r="AR388" i="5"/>
  <c r="BI51" i="5"/>
  <c r="BJ51" i="5" s="1"/>
  <c r="BI297" i="5"/>
  <c r="BK297" i="5" s="1"/>
  <c r="BI197" i="5"/>
  <c r="BK197" i="5" s="1"/>
  <c r="AR130" i="5"/>
  <c r="BI115" i="5"/>
  <c r="BK115" i="5" s="1"/>
  <c r="BI527" i="5"/>
  <c r="BJ527" i="5" s="1"/>
  <c r="BI93" i="5"/>
  <c r="BK93" i="5" s="1"/>
  <c r="AR51" i="5"/>
  <c r="AR197" i="5"/>
  <c r="AQ91" i="5"/>
  <c r="AQ115" i="5"/>
  <c r="AR189" i="5"/>
  <c r="BI388" i="5"/>
  <c r="BJ388" i="5" s="1"/>
  <c r="AQ152" i="5"/>
  <c r="BI265" i="5"/>
  <c r="BJ265" i="5" s="1"/>
  <c r="AR548" i="5"/>
  <c r="AR334" i="5"/>
  <c r="BI152" i="5"/>
  <c r="BJ152" i="5" s="1"/>
  <c r="AQ165" i="5"/>
  <c r="AR206" i="5"/>
  <c r="BI91" i="5"/>
  <c r="BJ91" i="5" s="1"/>
  <c r="AR396" i="5"/>
  <c r="BI168" i="5"/>
  <c r="BK168" i="5" s="1"/>
  <c r="AQ334" i="5"/>
  <c r="AQ206" i="5"/>
  <c r="AR470" i="5"/>
  <c r="AR59" i="5"/>
  <c r="AR265" i="5"/>
  <c r="BI548" i="5"/>
  <c r="BJ548" i="5" s="1"/>
  <c r="AR165" i="5"/>
  <c r="AR45" i="5"/>
  <c r="AR58" i="5"/>
  <c r="BI218" i="5"/>
  <c r="BK218" i="5" s="1"/>
  <c r="Z73" i="4"/>
  <c r="AK73" i="4" s="1"/>
  <c r="AL73" i="4" s="1"/>
  <c r="AA73" i="4"/>
  <c r="AQ73" i="4" s="1"/>
  <c r="Z92" i="4"/>
  <c r="AK92" i="4" s="1"/>
  <c r="AL92" i="4" s="1"/>
  <c r="Z56" i="4"/>
  <c r="X56" i="4" s="1"/>
  <c r="AK56" i="4" s="1"/>
  <c r="AL56" i="4" s="1"/>
  <c r="AA127" i="4"/>
  <c r="AC127" i="4" s="1"/>
  <c r="AD127" i="4" s="1"/>
  <c r="Z151" i="4"/>
  <c r="AN151" i="4" s="1"/>
  <c r="AR94" i="5"/>
  <c r="AQ94" i="5"/>
  <c r="BI523" i="5"/>
  <c r="BJ523" i="5" s="1"/>
  <c r="AR437" i="5"/>
  <c r="AQ523" i="5"/>
  <c r="AR307" i="5"/>
  <c r="BI437" i="5"/>
  <c r="BJ437" i="5" s="1"/>
  <c r="AQ307" i="5"/>
  <c r="AQ505" i="5"/>
  <c r="BI505" i="5"/>
  <c r="BJ505" i="5" s="1"/>
  <c r="AQ290" i="5"/>
  <c r="AR199" i="5"/>
  <c r="AR247" i="5"/>
  <c r="AJ43" i="4"/>
  <c r="AA43" i="4"/>
  <c r="AP43" i="4" s="1"/>
  <c r="AA58" i="4"/>
  <c r="AQ58" i="4" s="1"/>
  <c r="AA46" i="4"/>
  <c r="AQ46" i="4" s="1"/>
  <c r="AJ46" i="4"/>
  <c r="AA49" i="4"/>
  <c r="AP49" i="4" s="1"/>
  <c r="AA56" i="4"/>
  <c r="AQ56" i="4" s="1"/>
  <c r="AJ51" i="4"/>
  <c r="AA51" i="4"/>
  <c r="AQ51" i="4" s="1"/>
  <c r="AJ48" i="4"/>
  <c r="AA48" i="4"/>
  <c r="AP48" i="4" s="1"/>
  <c r="AA39" i="4"/>
  <c r="AQ39" i="4" s="1"/>
  <c r="AJ39" i="4"/>
  <c r="AA52" i="4"/>
  <c r="AP52" i="4" s="1"/>
  <c r="AJ52" i="4"/>
  <c r="AR221" i="5"/>
  <c r="AR121" i="5"/>
  <c r="AQ340" i="5"/>
  <c r="AQ313" i="5"/>
  <c r="X64" i="4"/>
  <c r="AJ64" i="4" s="1"/>
  <c r="AQ443" i="5"/>
  <c r="AQ53" i="5"/>
  <c r="BI130" i="5"/>
  <c r="BK130" i="5" s="1"/>
  <c r="AR347" i="5"/>
  <c r="AR313" i="5"/>
  <c r="BI53" i="5"/>
  <c r="BK53" i="5" s="1"/>
  <c r="BI347" i="5"/>
  <c r="BJ347" i="5" s="1"/>
  <c r="AQ189" i="5"/>
  <c r="BI109" i="5"/>
  <c r="BJ109" i="5" s="1"/>
  <c r="AQ554" i="5"/>
  <c r="X42" i="4"/>
  <c r="AJ42" i="4" s="1"/>
  <c r="AA53" i="4"/>
  <c r="AP53" i="4" s="1"/>
  <c r="AQ109" i="5"/>
  <c r="BI554" i="5"/>
  <c r="BJ554" i="5" s="1"/>
  <c r="X45" i="4"/>
  <c r="AJ45" i="4" s="1"/>
  <c r="X49" i="4"/>
  <c r="AJ49" i="4" s="1"/>
  <c r="AQ522" i="5"/>
  <c r="AR522" i="5"/>
  <c r="AR240" i="5"/>
  <c r="AR314" i="5"/>
  <c r="AQ337" i="5"/>
  <c r="AQ240" i="5"/>
  <c r="AA44" i="4"/>
  <c r="AQ44" i="4" s="1"/>
  <c r="BI314" i="5"/>
  <c r="BJ314" i="5" s="1"/>
  <c r="AR350" i="5"/>
  <c r="AQ102" i="5"/>
  <c r="AR440" i="5"/>
  <c r="AQ381" i="5"/>
  <c r="AQ142" i="5"/>
  <c r="BI350" i="5"/>
  <c r="BJ350" i="5" s="1"/>
  <c r="AR102" i="5"/>
  <c r="X40" i="4"/>
  <c r="AJ40" i="4" s="1"/>
  <c r="AR371" i="5"/>
  <c r="AR381" i="5"/>
  <c r="BI464" i="5"/>
  <c r="BJ464" i="5" s="1"/>
  <c r="BI142" i="5"/>
  <c r="BK142" i="5" s="1"/>
  <c r="BI371" i="5"/>
  <c r="BJ371" i="5" s="1"/>
  <c r="AA41" i="4"/>
  <c r="AQ41" i="4" s="1"/>
  <c r="AQ464" i="5"/>
  <c r="BI454" i="5"/>
  <c r="BJ454" i="5" s="1"/>
  <c r="AQ97" i="5"/>
  <c r="AR169" i="5"/>
  <c r="AQ457" i="5"/>
  <c r="BI97" i="5"/>
  <c r="BK97" i="5" s="1"/>
  <c r="X50" i="4"/>
  <c r="AJ50" i="4" s="1"/>
  <c r="AQ558" i="5"/>
  <c r="BI248" i="5"/>
  <c r="BJ248" i="5" s="1"/>
  <c r="AQ169" i="5"/>
  <c r="BI457" i="5"/>
  <c r="BJ457" i="5" s="1"/>
  <c r="AR312" i="5"/>
  <c r="AR57" i="5"/>
  <c r="AR104" i="5"/>
  <c r="AR558" i="5"/>
  <c r="BI398" i="5"/>
  <c r="BJ398" i="5" s="1"/>
  <c r="AQ248" i="5"/>
  <c r="BI308" i="5"/>
  <c r="BK308" i="5" s="1"/>
  <c r="BI312" i="5"/>
  <c r="BJ312" i="5" s="1"/>
  <c r="BI198" i="5"/>
  <c r="BJ198" i="5" s="1"/>
  <c r="BI104" i="5"/>
  <c r="BJ104" i="5" s="1"/>
  <c r="AR398" i="5"/>
  <c r="AQ409" i="5"/>
  <c r="BI210" i="5"/>
  <c r="BK210" i="5" s="1"/>
  <c r="AQ308" i="5"/>
  <c r="AR351" i="5"/>
  <c r="BI120" i="5"/>
  <c r="BJ120" i="5" s="1"/>
  <c r="AR198" i="5"/>
  <c r="AR66" i="5"/>
  <c r="BI351" i="5"/>
  <c r="BJ351" i="5" s="1"/>
  <c r="AJ37" i="4"/>
  <c r="AA37" i="4"/>
  <c r="AC37" i="4" s="1"/>
  <c r="AD37" i="4" s="1"/>
  <c r="AJ31" i="4"/>
  <c r="AA31" i="4"/>
  <c r="AQ31" i="4" s="1"/>
  <c r="AA36" i="4"/>
  <c r="AQ36" i="4" s="1"/>
  <c r="AJ27" i="4"/>
  <c r="AA27" i="4"/>
  <c r="AP27" i="4" s="1"/>
  <c r="AJ28" i="4"/>
  <c r="AA28" i="4"/>
  <c r="AQ28" i="4" s="1"/>
  <c r="AA33" i="4"/>
  <c r="AP33" i="4" s="1"/>
  <c r="AJ33" i="4"/>
  <c r="AJ35" i="4"/>
  <c r="AA35" i="4"/>
  <c r="AP35" i="4" s="1"/>
  <c r="AJ34" i="4"/>
  <c r="AA34" i="4"/>
  <c r="AQ34" i="4" s="1"/>
  <c r="AJ29" i="4"/>
  <c r="AA29" i="4"/>
  <c r="AC29" i="4" s="1"/>
  <c r="AD29" i="4" s="1"/>
  <c r="AJ30" i="4"/>
  <c r="AA30" i="4"/>
  <c r="AP30" i="4" s="1"/>
  <c r="X36" i="4"/>
  <c r="AJ36" i="4" s="1"/>
  <c r="AQ107" i="5"/>
  <c r="BI448" i="5"/>
  <c r="BK448" i="5" s="1"/>
  <c r="AQ408" i="5"/>
  <c r="BI125" i="5"/>
  <c r="BK125" i="5" s="1"/>
  <c r="AR408" i="5"/>
  <c r="AR125" i="5"/>
  <c r="BI327" i="5"/>
  <c r="BK327" i="5" s="1"/>
  <c r="AR327" i="5"/>
  <c r="BI362" i="5"/>
  <c r="BK362" i="5" s="1"/>
  <c r="AR362" i="5"/>
  <c r="X26" i="4"/>
  <c r="AJ26" i="4" s="1"/>
  <c r="BI188" i="5"/>
  <c r="BJ188" i="5" s="1"/>
  <c r="X32" i="4"/>
  <c r="AJ32" i="4" s="1"/>
  <c r="BI116" i="5"/>
  <c r="BJ116" i="5" s="1"/>
  <c r="AQ188" i="5"/>
  <c r="BI179" i="5"/>
  <c r="BJ179" i="5" s="1"/>
  <c r="AR543" i="5"/>
  <c r="AR328" i="5"/>
  <c r="BI543" i="5"/>
  <c r="BJ543" i="5" s="1"/>
  <c r="BI328" i="5"/>
  <c r="BJ328" i="5" s="1"/>
  <c r="AR249" i="5"/>
  <c r="BI226" i="5"/>
  <c r="BJ226" i="5" s="1"/>
  <c r="AQ463" i="5"/>
  <c r="AQ392" i="5"/>
  <c r="BI249" i="5"/>
  <c r="BK249" i="5" s="1"/>
  <c r="AQ316" i="5"/>
  <c r="BI79" i="5"/>
  <c r="BK79" i="5" s="1"/>
  <c r="AR333" i="5"/>
  <c r="BI7" i="5"/>
  <c r="BJ7" i="5" s="1"/>
  <c r="AQ425" i="5"/>
  <c r="AR385" i="5"/>
  <c r="AQ479" i="5"/>
  <c r="AR236" i="5"/>
  <c r="BI423" i="5"/>
  <c r="BK423" i="5" s="1"/>
  <c r="BI551" i="5"/>
  <c r="BJ551" i="5" s="1"/>
  <c r="AQ61" i="5"/>
  <c r="BI280" i="5"/>
  <c r="BK280" i="5" s="1"/>
  <c r="AA76" i="4"/>
  <c r="AQ76" i="4" s="1"/>
  <c r="AR30" i="5"/>
  <c r="AR479" i="5"/>
  <c r="BI166" i="5"/>
  <c r="BK166" i="5" s="1"/>
  <c r="AQ236" i="5"/>
  <c r="AQ551" i="5"/>
  <c r="AR280" i="5"/>
  <c r="BI315" i="5"/>
  <c r="BJ315" i="5" s="1"/>
  <c r="AQ121" i="5"/>
  <c r="AQ57" i="5"/>
  <c r="AR38" i="5"/>
  <c r="AQ440" i="5"/>
  <c r="BI89" i="5"/>
  <c r="BJ89" i="5" s="1"/>
  <c r="AQ474" i="5"/>
  <c r="BI341" i="5"/>
  <c r="BJ341" i="5" s="1"/>
  <c r="AQ38" i="5"/>
  <c r="AQ89" i="5"/>
  <c r="BI474" i="5"/>
  <c r="BJ474" i="5" s="1"/>
  <c r="AR531" i="5"/>
  <c r="AR341" i="5"/>
  <c r="BI531" i="5"/>
  <c r="BJ531" i="5" s="1"/>
  <c r="AQ494" i="5"/>
  <c r="BI255" i="5"/>
  <c r="BK255" i="5" s="1"/>
  <c r="AR494" i="5"/>
  <c r="AR425" i="5"/>
  <c r="AR255" i="5"/>
  <c r="AR549" i="5"/>
  <c r="AR547" i="5"/>
  <c r="BI539" i="5"/>
  <c r="BJ539" i="5" s="1"/>
  <c r="BI72" i="5"/>
  <c r="BJ72" i="5" s="1"/>
  <c r="AQ549" i="5"/>
  <c r="AQ547" i="5"/>
  <c r="AQ539" i="5"/>
  <c r="BI433" i="5"/>
  <c r="BJ433" i="5" s="1"/>
  <c r="AR72" i="5"/>
  <c r="AR316" i="5"/>
  <c r="AQ30" i="5"/>
  <c r="AQ433" i="5"/>
  <c r="BI187" i="5"/>
  <c r="BJ187" i="5" s="1"/>
  <c r="AR195" i="5"/>
  <c r="AR90" i="5"/>
  <c r="AR353" i="5"/>
  <c r="AQ187" i="5"/>
  <c r="AR311" i="5"/>
  <c r="AQ116" i="5"/>
  <c r="AQ195" i="5"/>
  <c r="BI90" i="5"/>
  <c r="BJ90" i="5" s="1"/>
  <c r="BI299" i="5"/>
  <c r="BK299" i="5" s="1"/>
  <c r="BI353" i="5"/>
  <c r="BJ353" i="5" s="1"/>
  <c r="AQ225" i="5"/>
  <c r="AQ359" i="5"/>
  <c r="BI311" i="5"/>
  <c r="BK311" i="5" s="1"/>
  <c r="AQ156" i="5"/>
  <c r="AR377" i="5"/>
  <c r="AQ299" i="5"/>
  <c r="AQ262" i="5"/>
  <c r="AQ502" i="5"/>
  <c r="BI225" i="5"/>
  <c r="BJ225" i="5" s="1"/>
  <c r="BI359" i="5"/>
  <c r="BK359" i="5" s="1"/>
  <c r="BI288" i="5"/>
  <c r="BK288" i="5" s="1"/>
  <c r="BI377" i="5"/>
  <c r="BK377" i="5" s="1"/>
  <c r="AR461" i="5"/>
  <c r="AR262" i="5"/>
  <c r="AR46" i="5"/>
  <c r="BI502" i="5"/>
  <c r="BJ502" i="5" s="1"/>
  <c r="AQ556" i="5"/>
  <c r="AR288" i="5"/>
  <c r="AR337" i="5"/>
  <c r="BI247" i="5"/>
  <c r="BJ247" i="5" s="1"/>
  <c r="BI461" i="5"/>
  <c r="BJ461" i="5" s="1"/>
  <c r="AQ385" i="5"/>
  <c r="AQ46" i="5"/>
  <c r="AQ423" i="5"/>
  <c r="BI556" i="5"/>
  <c r="BK556" i="5" s="1"/>
  <c r="AR61" i="5"/>
  <c r="BI396" i="5"/>
  <c r="BJ396" i="5" s="1"/>
  <c r="Z55" i="4"/>
  <c r="AQ10" i="5"/>
  <c r="Z54" i="4"/>
  <c r="Z105" i="4"/>
  <c r="AK105" i="4" s="1"/>
  <c r="AL105" i="4" s="1"/>
  <c r="AA151" i="4"/>
  <c r="AQ151" i="4" s="1"/>
  <c r="AA105" i="4"/>
  <c r="AQ105" i="4" s="1"/>
  <c r="Z142" i="4"/>
  <c r="AN142" i="4" s="1"/>
  <c r="AA148" i="4"/>
  <c r="AP148" i="4" s="1"/>
  <c r="AA142" i="4"/>
  <c r="AP142" i="4" s="1"/>
  <c r="Z78" i="4"/>
  <c r="AK78" i="4" s="1"/>
  <c r="AL78" i="4" s="1"/>
  <c r="AA85" i="4"/>
  <c r="AP85" i="4" s="1"/>
  <c r="AA129" i="4"/>
  <c r="AC129" i="4" s="1"/>
  <c r="AD129" i="4" s="1"/>
  <c r="Z85" i="4"/>
  <c r="AN85" i="4" s="1"/>
  <c r="Z129" i="4"/>
  <c r="AN129" i="4" s="1"/>
  <c r="AA114" i="4"/>
  <c r="AC114" i="4" s="1"/>
  <c r="AD114" i="4" s="1"/>
  <c r="Z63" i="4"/>
  <c r="AN63" i="4" s="1"/>
  <c r="Z114" i="4"/>
  <c r="AK114" i="4" s="1"/>
  <c r="AL114" i="4" s="1"/>
  <c r="AA78" i="4"/>
  <c r="AQ78" i="4" s="1"/>
  <c r="Z134" i="4"/>
  <c r="AK134" i="4" s="1"/>
  <c r="AL134" i="4" s="1"/>
  <c r="AA117" i="4"/>
  <c r="AQ117" i="4" s="1"/>
  <c r="Z61" i="4"/>
  <c r="AA134" i="4"/>
  <c r="AP134" i="4" s="1"/>
  <c r="Z152" i="4"/>
  <c r="AN152" i="4" s="1"/>
  <c r="AA152" i="4"/>
  <c r="AP152" i="4" s="1"/>
  <c r="Z101" i="4"/>
  <c r="AF101" i="4" s="1"/>
  <c r="AG101" i="4" s="1"/>
  <c r="AI101" i="4" s="1"/>
  <c r="AA149" i="4"/>
  <c r="AQ149" i="4" s="1"/>
  <c r="AA155" i="4"/>
  <c r="AP155" i="4" s="1"/>
  <c r="Z133" i="4"/>
  <c r="AN133" i="4" s="1"/>
  <c r="Z69" i="4"/>
  <c r="AK69" i="4" s="1"/>
  <c r="AL69" i="4" s="1"/>
  <c r="Z95" i="4"/>
  <c r="AN95" i="4" s="1"/>
  <c r="Z110" i="4"/>
  <c r="AN110" i="4" s="1"/>
  <c r="AA97" i="4"/>
  <c r="AP97" i="4" s="1"/>
  <c r="Z111" i="4"/>
  <c r="AK111" i="4" s="1"/>
  <c r="AL111" i="4" s="1"/>
  <c r="AA113" i="4"/>
  <c r="AQ113" i="4" s="1"/>
  <c r="Z106" i="4"/>
  <c r="AN106" i="4" s="1"/>
  <c r="AA95" i="4"/>
  <c r="AQ95" i="4" s="1"/>
  <c r="Z65" i="4"/>
  <c r="AA112" i="4"/>
  <c r="AC112" i="4" s="1"/>
  <c r="AD112" i="4" s="1"/>
  <c r="AA110" i="4"/>
  <c r="AQ110" i="4" s="1"/>
  <c r="Z113" i="4"/>
  <c r="AK113" i="4" s="1"/>
  <c r="AL113" i="4" s="1"/>
  <c r="AA135" i="4"/>
  <c r="AC135" i="4" s="1"/>
  <c r="AD135" i="4" s="1"/>
  <c r="AA106" i="4"/>
  <c r="AC106" i="4" s="1"/>
  <c r="AD106" i="4" s="1"/>
  <c r="AA111" i="4"/>
  <c r="AP111" i="4" s="1"/>
  <c r="Z59" i="4"/>
  <c r="Z112" i="4"/>
  <c r="AK112" i="4" s="1"/>
  <c r="AL112" i="4" s="1"/>
  <c r="Z117" i="4"/>
  <c r="AK117" i="4" s="1"/>
  <c r="AL117" i="4" s="1"/>
  <c r="Z135" i="4"/>
  <c r="AN135" i="4" s="1"/>
  <c r="Z57" i="4"/>
  <c r="AA141" i="4"/>
  <c r="AQ141" i="4" s="1"/>
  <c r="AA156" i="4"/>
  <c r="AQ156" i="4" s="1"/>
  <c r="AA92" i="4"/>
  <c r="AQ92" i="4" s="1"/>
  <c r="AA79" i="4"/>
  <c r="AP79" i="4" s="1"/>
  <c r="Z94" i="4"/>
  <c r="AF94" i="4" s="1"/>
  <c r="AG94" i="4" s="1"/>
  <c r="AI94" i="4" s="1"/>
  <c r="Z140" i="4"/>
  <c r="AK140" i="4" s="1"/>
  <c r="AL140" i="4" s="1"/>
  <c r="AA108" i="4"/>
  <c r="AC108" i="4" s="1"/>
  <c r="AD108" i="4" s="1"/>
  <c r="Z137" i="4"/>
  <c r="AF137" i="4" s="1"/>
  <c r="AG137" i="4" s="1"/>
  <c r="AI137" i="4" s="1"/>
  <c r="Z141" i="4"/>
  <c r="AN141" i="4" s="1"/>
  <c r="Z90" i="4"/>
  <c r="AF90" i="4" s="1"/>
  <c r="AG90" i="4" s="1"/>
  <c r="AI90" i="4" s="1"/>
  <c r="Z67" i="4"/>
  <c r="AK67" i="4" s="1"/>
  <c r="AL67" i="4" s="1"/>
  <c r="AA137" i="4"/>
  <c r="AP137" i="4" s="1"/>
  <c r="Z156" i="4"/>
  <c r="AK156" i="4" s="1"/>
  <c r="AL156" i="4" s="1"/>
  <c r="AA94" i="4"/>
  <c r="AQ94" i="4" s="1"/>
  <c r="Z102" i="4"/>
  <c r="AN102" i="4" s="1"/>
  <c r="AA140" i="4"/>
  <c r="AC140" i="4" s="1"/>
  <c r="AD140" i="4" s="1"/>
  <c r="Z118" i="4"/>
  <c r="AK118" i="4" s="1"/>
  <c r="AL118" i="4" s="1"/>
  <c r="Z77" i="4"/>
  <c r="AN77" i="4" s="1"/>
  <c r="Z60" i="4"/>
  <c r="AA109" i="4"/>
  <c r="AP109" i="4" s="1"/>
  <c r="Z108" i="4"/>
  <c r="AK108" i="4" s="1"/>
  <c r="AL108" i="4" s="1"/>
  <c r="Z93" i="4"/>
  <c r="AN93" i="4" s="1"/>
  <c r="AA102" i="4"/>
  <c r="AQ102" i="4" s="1"/>
  <c r="AA90" i="4"/>
  <c r="AC90" i="4" s="1"/>
  <c r="AD90" i="4" s="1"/>
  <c r="AA77" i="4"/>
  <c r="AC77" i="4" s="1"/>
  <c r="AD77" i="4" s="1"/>
  <c r="Z79" i="4"/>
  <c r="AN79" i="4" s="1"/>
  <c r="AA93" i="4"/>
  <c r="AQ93" i="4" s="1"/>
  <c r="AA67" i="4"/>
  <c r="AC67" i="4" s="1"/>
  <c r="AD67" i="4" s="1"/>
  <c r="AA101" i="4"/>
  <c r="AP101" i="4" s="1"/>
  <c r="AA98" i="4"/>
  <c r="AP98" i="4" s="1"/>
  <c r="AA96" i="4"/>
  <c r="AQ96" i="4" s="1"/>
  <c r="Z149" i="4"/>
  <c r="AK149" i="4" s="1"/>
  <c r="AL149" i="4" s="1"/>
  <c r="AA81" i="4"/>
  <c r="AP81" i="4" s="1"/>
  <c r="Z98" i="4"/>
  <c r="AK98" i="4" s="1"/>
  <c r="AL98" i="4" s="1"/>
  <c r="AA136" i="4"/>
  <c r="AC136" i="4" s="1"/>
  <c r="AD136" i="4" s="1"/>
  <c r="Z96" i="4"/>
  <c r="AN96" i="4" s="1"/>
  <c r="Z75" i="4"/>
  <c r="AF75" i="4" s="1"/>
  <c r="AG75" i="4" s="1"/>
  <c r="AI75" i="4" s="1"/>
  <c r="Z122" i="4"/>
  <c r="AN122" i="4" s="1"/>
  <c r="AA143" i="4"/>
  <c r="AQ143" i="4" s="1"/>
  <c r="AA74" i="4"/>
  <c r="AP74" i="4" s="1"/>
  <c r="AA66" i="4"/>
  <c r="AQ66" i="4" s="1"/>
  <c r="Z81" i="4"/>
  <c r="AN81" i="4" s="1"/>
  <c r="Z136" i="4"/>
  <c r="AN136" i="4" s="1"/>
  <c r="Z89" i="4"/>
  <c r="AK89" i="4" s="1"/>
  <c r="AL89" i="4" s="1"/>
  <c r="AA75" i="4"/>
  <c r="AP75" i="4" s="1"/>
  <c r="AA133" i="4"/>
  <c r="AP133" i="4" s="1"/>
  <c r="Z66" i="4"/>
  <c r="AF66" i="4" s="1"/>
  <c r="AG66" i="4" s="1"/>
  <c r="AI66" i="4" s="1"/>
  <c r="AA122" i="4"/>
  <c r="AQ122" i="4" s="1"/>
  <c r="AA89" i="4"/>
  <c r="AQ89" i="4" s="1"/>
  <c r="Z82" i="4"/>
  <c r="AK82" i="4" s="1"/>
  <c r="AL82" i="4" s="1"/>
  <c r="Z143" i="4"/>
  <c r="AN143" i="4" s="1"/>
  <c r="AA121" i="4"/>
  <c r="AP121" i="4" s="1"/>
  <c r="Z155" i="4"/>
  <c r="AN155" i="4" s="1"/>
  <c r="Z74" i="4"/>
  <c r="AN74" i="4" s="1"/>
  <c r="Z121" i="4"/>
  <c r="AK121" i="4" s="1"/>
  <c r="AL121" i="4" s="1"/>
  <c r="AA82" i="4"/>
  <c r="AQ82" i="4" s="1"/>
  <c r="Z128" i="4"/>
  <c r="AK128" i="4" s="1"/>
  <c r="AL128" i="4" s="1"/>
  <c r="Z144" i="4"/>
  <c r="AK144" i="4" s="1"/>
  <c r="AL144" i="4" s="1"/>
  <c r="Z125" i="4"/>
  <c r="AN125" i="4" s="1"/>
  <c r="AA116" i="4"/>
  <c r="AC116" i="4" s="1"/>
  <c r="AD116" i="4" s="1"/>
  <c r="AA124" i="4"/>
  <c r="AQ124" i="4" s="1"/>
  <c r="AA144" i="4"/>
  <c r="AC144" i="4" s="1"/>
  <c r="AD144" i="4" s="1"/>
  <c r="Z76" i="4"/>
  <c r="AF76" i="4" s="1"/>
  <c r="AG76" i="4" s="1"/>
  <c r="AI76" i="4" s="1"/>
  <c r="Z97" i="4"/>
  <c r="AK97" i="4" s="1"/>
  <c r="AL97" i="4" s="1"/>
  <c r="Z116" i="4"/>
  <c r="AK116" i="4" s="1"/>
  <c r="AL116" i="4" s="1"/>
  <c r="Z124" i="4"/>
  <c r="AF124" i="4" s="1"/>
  <c r="AG124" i="4" s="1"/>
  <c r="AI124" i="4" s="1"/>
  <c r="AA128" i="4"/>
  <c r="AC128" i="4" s="1"/>
  <c r="AD128" i="4" s="1"/>
  <c r="AA69" i="4"/>
  <c r="AQ69" i="4" s="1"/>
  <c r="AA118" i="4"/>
  <c r="AQ118" i="4" s="1"/>
  <c r="Z62" i="4"/>
  <c r="AF62" i="4" s="1"/>
  <c r="AG62" i="4" s="1"/>
  <c r="AI62" i="4" s="1"/>
  <c r="AJ17" i="4"/>
  <c r="AA16" i="4"/>
  <c r="AC16" i="4" s="1"/>
  <c r="AD16" i="4" s="1"/>
  <c r="AA22" i="4"/>
  <c r="AC22" i="4" s="1"/>
  <c r="AD22" i="4" s="1"/>
  <c r="AA12" i="4"/>
  <c r="AQ12" i="4" s="1"/>
  <c r="AA19" i="4"/>
  <c r="AP19" i="4" s="1"/>
  <c r="AA14" i="4"/>
  <c r="AQ14" i="4" s="1"/>
  <c r="AA20" i="4"/>
  <c r="AQ20" i="4" s="1"/>
  <c r="AA10" i="4"/>
  <c r="AP10" i="4" s="1"/>
  <c r="AA11" i="4"/>
  <c r="AQ11" i="4" s="1"/>
  <c r="AA23" i="4"/>
  <c r="AP23" i="4" s="1"/>
  <c r="AA24" i="4"/>
  <c r="AP24" i="4" s="1"/>
  <c r="AA9" i="4"/>
  <c r="AC9" i="4" s="1"/>
  <c r="AD9" i="4" s="1"/>
  <c r="AA21" i="4"/>
  <c r="AQ21" i="4" s="1"/>
  <c r="AA8" i="4"/>
  <c r="AC8" i="4" s="1"/>
  <c r="AD8" i="4" s="1"/>
  <c r="AA15" i="4"/>
  <c r="AQ15" i="4" s="1"/>
  <c r="AA18" i="4"/>
  <c r="AP18" i="4" s="1"/>
  <c r="AA13" i="4"/>
  <c r="AP13" i="4" s="1"/>
  <c r="AA7" i="4"/>
  <c r="AC7" i="4" s="1"/>
  <c r="AD7" i="4" s="1"/>
  <c r="AA25" i="4"/>
  <c r="AP25" i="4" s="1"/>
  <c r="AQ7" i="5"/>
  <c r="B209" i="2" s="1"/>
  <c r="B214" i="2" s="1"/>
  <c r="B215" i="2" s="1"/>
  <c r="B188" i="2"/>
  <c r="B222" i="2" s="1"/>
  <c r="F68" i="1" s="1"/>
  <c r="B190" i="2"/>
  <c r="B226" i="2" s="1"/>
  <c r="F70" i="1" s="1"/>
  <c r="AC418" i="5"/>
  <c r="AD418" i="5" s="1"/>
  <c r="AN28" i="4"/>
  <c r="AK28" i="4"/>
  <c r="AL28" i="4" s="1"/>
  <c r="AF28" i="4"/>
  <c r="AG28" i="4" s="1"/>
  <c r="AI28" i="4" s="1"/>
  <c r="BK118" i="5"/>
  <c r="BJ118" i="5"/>
  <c r="AN45" i="4"/>
  <c r="AF45" i="4"/>
  <c r="AG45" i="4" s="1"/>
  <c r="AI45" i="4" s="1"/>
  <c r="AQ132" i="4"/>
  <c r="AP132" i="4"/>
  <c r="AC132" i="4"/>
  <c r="AD132" i="4" s="1"/>
  <c r="AN17" i="4"/>
  <c r="AF17" i="4"/>
  <c r="AG17" i="4" s="1"/>
  <c r="AI17" i="4" s="1"/>
  <c r="AK17" i="4"/>
  <c r="AL17" i="4" s="1"/>
  <c r="AP115" i="4"/>
  <c r="AQ115" i="4"/>
  <c r="AC115" i="4"/>
  <c r="AD115" i="4" s="1"/>
  <c r="AN40" i="4"/>
  <c r="AF40" i="4"/>
  <c r="AG40" i="4" s="1"/>
  <c r="AI40" i="4" s="1"/>
  <c r="AQ38" i="4"/>
  <c r="AP38" i="4"/>
  <c r="AC38" i="4"/>
  <c r="AD38" i="4" s="1"/>
  <c r="AK13" i="4"/>
  <c r="AL13" i="4" s="1"/>
  <c r="AN13" i="4"/>
  <c r="AF13" i="4"/>
  <c r="AG13" i="4" s="1"/>
  <c r="AI13" i="4" s="1"/>
  <c r="AP83" i="4"/>
  <c r="AQ83" i="4"/>
  <c r="AC83" i="4"/>
  <c r="AD83" i="4" s="1"/>
  <c r="AK31" i="4"/>
  <c r="AL31" i="4" s="1"/>
  <c r="AN31" i="4"/>
  <c r="AF31" i="4"/>
  <c r="AG31" i="4" s="1"/>
  <c r="AI31" i="4" s="1"/>
  <c r="AQ148" i="5"/>
  <c r="BI148" i="5"/>
  <c r="AR148" i="5"/>
  <c r="BJ451" i="5"/>
  <c r="BK451" i="5"/>
  <c r="BJ257" i="5"/>
  <c r="BK257" i="5"/>
  <c r="AN36" i="4"/>
  <c r="AF36" i="4"/>
  <c r="AG36" i="4" s="1"/>
  <c r="AI36" i="4" s="1"/>
  <c r="AN12" i="4"/>
  <c r="AF12" i="4"/>
  <c r="AG12" i="4" s="1"/>
  <c r="AI12" i="4" s="1"/>
  <c r="AK12" i="4"/>
  <c r="AL12" i="4" s="1"/>
  <c r="BK499" i="5"/>
  <c r="BJ499" i="5"/>
  <c r="BK122" i="5"/>
  <c r="BJ122" i="5"/>
  <c r="BJ19" i="5"/>
  <c r="BK19" i="5"/>
  <c r="BK216" i="5"/>
  <c r="BJ216" i="5"/>
  <c r="BJ429" i="5"/>
  <c r="BK429" i="5"/>
  <c r="BI504" i="5"/>
  <c r="AR504" i="5"/>
  <c r="AQ504" i="5"/>
  <c r="BI419" i="5"/>
  <c r="AQ419" i="5"/>
  <c r="AR419" i="5"/>
  <c r="BJ549" i="5"/>
  <c r="BK549" i="5"/>
  <c r="BJ320" i="5"/>
  <c r="BK320" i="5"/>
  <c r="AR462" i="5"/>
  <c r="AQ462" i="5"/>
  <c r="BI462" i="5"/>
  <c r="BJ223" i="5"/>
  <c r="BK223" i="5"/>
  <c r="BI284" i="5"/>
  <c r="AR284" i="5"/>
  <c r="AQ284" i="5"/>
  <c r="AR186" i="5"/>
  <c r="AQ186" i="5"/>
  <c r="BI186" i="5"/>
  <c r="BK147" i="5"/>
  <c r="BJ147" i="5"/>
  <c r="BK518" i="5"/>
  <c r="BJ518" i="5"/>
  <c r="AQ146" i="4"/>
  <c r="AP146" i="4"/>
  <c r="AC146" i="4"/>
  <c r="AD146" i="4" s="1"/>
  <c r="AN64" i="4"/>
  <c r="AF64" i="4"/>
  <c r="AG64" i="4" s="1"/>
  <c r="AI64" i="4" s="1"/>
  <c r="AN37" i="4"/>
  <c r="AF37" i="4"/>
  <c r="AG37" i="4" s="1"/>
  <c r="AI37" i="4" s="1"/>
  <c r="AK37" i="4"/>
  <c r="AL37" i="4" s="1"/>
  <c r="AK68" i="4"/>
  <c r="AL68" i="4" s="1"/>
  <c r="AN68" i="4"/>
  <c r="AF68" i="4"/>
  <c r="AG68" i="4" s="1"/>
  <c r="AI68" i="4" s="1"/>
  <c r="AK119" i="4"/>
  <c r="AL119" i="4" s="1"/>
  <c r="AN119" i="4"/>
  <c r="AF119" i="4"/>
  <c r="AG119" i="4" s="1"/>
  <c r="AI119" i="4" s="1"/>
  <c r="AN43" i="4"/>
  <c r="AK43" i="4"/>
  <c r="AL43" i="4" s="1"/>
  <c r="AF43" i="4"/>
  <c r="AG43" i="4" s="1"/>
  <c r="AI43" i="4" s="1"/>
  <c r="AN84" i="4"/>
  <c r="AK84" i="4"/>
  <c r="AL84" i="4" s="1"/>
  <c r="AF84" i="4"/>
  <c r="AG84" i="4" s="1"/>
  <c r="AI84" i="4" s="1"/>
  <c r="AP84" i="4"/>
  <c r="AQ84" i="4"/>
  <c r="AC84" i="4"/>
  <c r="AD84" i="4" s="1"/>
  <c r="AK70" i="4"/>
  <c r="AL70" i="4" s="1"/>
  <c r="AN70" i="4"/>
  <c r="AF70" i="4"/>
  <c r="AG70" i="4" s="1"/>
  <c r="AI70" i="4" s="1"/>
  <c r="BJ431" i="5"/>
  <c r="BK431" i="5"/>
  <c r="BK381" i="5"/>
  <c r="BJ381" i="5"/>
  <c r="BK417" i="5"/>
  <c r="BJ417" i="5"/>
  <c r="BJ211" i="5"/>
  <c r="BK211" i="5"/>
  <c r="BJ47" i="5"/>
  <c r="BK47" i="5"/>
  <c r="BK406" i="5"/>
  <c r="BJ406" i="5"/>
  <c r="AQ386" i="5"/>
  <c r="BI386" i="5"/>
  <c r="AR386" i="5"/>
  <c r="BK352" i="5"/>
  <c r="BJ352" i="5"/>
  <c r="S9" i="5"/>
  <c r="R9" i="5"/>
  <c r="R135" i="5"/>
  <c r="S135" i="5"/>
  <c r="R432" i="5"/>
  <c r="S432" i="5"/>
  <c r="S381" i="5"/>
  <c r="R381" i="5"/>
  <c r="S151" i="5"/>
  <c r="R151" i="5"/>
  <c r="R129" i="5"/>
  <c r="S129" i="5"/>
  <c r="S222" i="5"/>
  <c r="R222" i="5"/>
  <c r="R107" i="5"/>
  <c r="S107" i="5"/>
  <c r="R240" i="5"/>
  <c r="S240" i="5"/>
  <c r="S34" i="5"/>
  <c r="R34" i="5"/>
  <c r="R454" i="5"/>
  <c r="S454" i="5"/>
  <c r="R257" i="5"/>
  <c r="S257" i="5"/>
  <c r="S378" i="5"/>
  <c r="R378" i="5"/>
  <c r="S223" i="5"/>
  <c r="R223" i="5"/>
  <c r="R125" i="5"/>
  <c r="S125" i="5"/>
  <c r="R128" i="5"/>
  <c r="S128" i="5"/>
  <c r="S253" i="5"/>
  <c r="R253" i="5"/>
  <c r="R419" i="5"/>
  <c r="S419" i="5"/>
  <c r="R533" i="5"/>
  <c r="S533" i="5"/>
  <c r="S343" i="5"/>
  <c r="R343" i="5"/>
  <c r="R37" i="5"/>
  <c r="S37" i="5"/>
  <c r="R401" i="5"/>
  <c r="S401" i="5"/>
  <c r="S536" i="5"/>
  <c r="R536" i="5"/>
  <c r="R489" i="5"/>
  <c r="S489" i="5"/>
  <c r="S324" i="5"/>
  <c r="R324" i="5"/>
  <c r="R508" i="5"/>
  <c r="S508" i="5"/>
  <c r="R444" i="5"/>
  <c r="S444" i="5"/>
  <c r="S289" i="5"/>
  <c r="R289" i="5"/>
  <c r="R259" i="5"/>
  <c r="S259" i="5"/>
  <c r="R20" i="5"/>
  <c r="S20" i="5"/>
  <c r="S486" i="5"/>
  <c r="R486" i="5"/>
  <c r="S195" i="5"/>
  <c r="R195" i="5"/>
  <c r="S178" i="5"/>
  <c r="R178" i="5"/>
  <c r="S126" i="5"/>
  <c r="R126" i="5"/>
  <c r="R85" i="5"/>
  <c r="S85" i="5"/>
  <c r="S556" i="5"/>
  <c r="R556" i="5"/>
  <c r="R546" i="5"/>
  <c r="S546" i="5"/>
  <c r="S59" i="5"/>
  <c r="R59" i="5"/>
  <c r="R203" i="5"/>
  <c r="S203" i="5"/>
  <c r="R147" i="5"/>
  <c r="S147" i="5"/>
  <c r="S232" i="5"/>
  <c r="R232" i="5"/>
  <c r="R162" i="5"/>
  <c r="S162" i="5"/>
  <c r="S420" i="5"/>
  <c r="R420" i="5"/>
  <c r="S41" i="5"/>
  <c r="R41" i="5"/>
  <c r="S406" i="5"/>
  <c r="R406" i="5"/>
  <c r="R270" i="5"/>
  <c r="S270" i="5"/>
  <c r="S49" i="5"/>
  <c r="R49" i="5"/>
  <c r="S519" i="5"/>
  <c r="R519" i="5"/>
  <c r="S83" i="5"/>
  <c r="R83" i="5"/>
  <c r="S196" i="5"/>
  <c r="R196" i="5"/>
  <c r="S205" i="5"/>
  <c r="R205" i="5"/>
  <c r="S491" i="5"/>
  <c r="R491" i="5"/>
  <c r="R340" i="5"/>
  <c r="S340" i="5"/>
  <c r="S380" i="5"/>
  <c r="R380" i="5"/>
  <c r="R469" i="5"/>
  <c r="S469" i="5"/>
  <c r="S297" i="5"/>
  <c r="R297" i="5"/>
  <c r="S153" i="5"/>
  <c r="R153" i="5"/>
  <c r="R216" i="5"/>
  <c r="S216" i="5"/>
  <c r="S84" i="5"/>
  <c r="R84" i="5"/>
  <c r="S511" i="5"/>
  <c r="R511" i="5"/>
  <c r="R403" i="5"/>
  <c r="S403" i="5"/>
  <c r="S77" i="5"/>
  <c r="R77" i="5"/>
  <c r="R358" i="5"/>
  <c r="S358" i="5"/>
  <c r="S198" i="5"/>
  <c r="R198" i="5"/>
  <c r="S262" i="5"/>
  <c r="R262" i="5"/>
  <c r="S160" i="5"/>
  <c r="R160" i="5"/>
  <c r="R307" i="5"/>
  <c r="S307" i="5"/>
  <c r="S100" i="5"/>
  <c r="R100" i="5"/>
  <c r="S437" i="5"/>
  <c r="R437" i="5"/>
  <c r="R525" i="5"/>
  <c r="S525" i="5"/>
  <c r="R312" i="5"/>
  <c r="S312" i="5"/>
  <c r="R189" i="5"/>
  <c r="S189" i="5"/>
  <c r="S258" i="5"/>
  <c r="R258" i="5"/>
  <c r="R239" i="5"/>
  <c r="S239" i="5"/>
  <c r="S171" i="5"/>
  <c r="R171" i="5"/>
  <c r="R31" i="5"/>
  <c r="S31" i="5"/>
  <c r="R230" i="5"/>
  <c r="S230" i="5"/>
  <c r="S433" i="5"/>
  <c r="R433" i="5"/>
  <c r="R106" i="5"/>
  <c r="S106" i="5"/>
  <c r="S494" i="5"/>
  <c r="R494" i="5"/>
  <c r="R431" i="5"/>
  <c r="S431" i="5"/>
  <c r="R429" i="5"/>
  <c r="S429" i="5"/>
  <c r="R553" i="5"/>
  <c r="S553" i="5"/>
  <c r="R446" i="5"/>
  <c r="S446" i="5"/>
  <c r="R379" i="5"/>
  <c r="S379" i="5"/>
  <c r="S200" i="5"/>
  <c r="R200" i="5"/>
  <c r="R228" i="5"/>
  <c r="S228" i="5"/>
  <c r="S164" i="5"/>
  <c r="R164" i="5"/>
  <c r="S370" i="5"/>
  <c r="R370" i="5"/>
  <c r="S552" i="5"/>
  <c r="R552" i="5"/>
  <c r="S140" i="5"/>
  <c r="R140" i="5"/>
  <c r="S467" i="5"/>
  <c r="R467" i="5"/>
  <c r="S414" i="5"/>
  <c r="R414" i="5"/>
  <c r="R427" i="5"/>
  <c r="S427" i="5"/>
  <c r="R473" i="5"/>
  <c r="S473" i="5"/>
  <c r="R74" i="5"/>
  <c r="S74" i="5"/>
  <c r="S248" i="5"/>
  <c r="R248" i="5"/>
  <c r="S261" i="5"/>
  <c r="R261" i="5"/>
  <c r="S163" i="5"/>
  <c r="R163" i="5"/>
  <c r="S320" i="5"/>
  <c r="R320" i="5"/>
  <c r="R172" i="5"/>
  <c r="S172" i="5"/>
  <c r="S349" i="5"/>
  <c r="R349" i="5"/>
  <c r="S197" i="5"/>
  <c r="R197" i="5"/>
  <c r="R19" i="5"/>
  <c r="S19" i="5"/>
  <c r="S82" i="5"/>
  <c r="R82" i="5"/>
  <c r="S315" i="5"/>
  <c r="R315" i="5"/>
  <c r="R535" i="5"/>
  <c r="S535" i="5"/>
  <c r="S296" i="5"/>
  <c r="R296" i="5"/>
  <c r="R346" i="5"/>
  <c r="S346" i="5"/>
  <c r="S393" i="5"/>
  <c r="R393" i="5"/>
  <c r="S149" i="5"/>
  <c r="R149" i="5"/>
  <c r="S204" i="5"/>
  <c r="R204" i="5"/>
  <c r="S187" i="5"/>
  <c r="R187" i="5"/>
  <c r="S506" i="5"/>
  <c r="R506" i="5"/>
  <c r="S412" i="5"/>
  <c r="R412" i="5"/>
  <c r="R66" i="5"/>
  <c r="S66" i="5"/>
  <c r="S434" i="5"/>
  <c r="R434" i="5"/>
  <c r="R461" i="5"/>
  <c r="S461" i="5"/>
  <c r="S72" i="5"/>
  <c r="R72" i="5"/>
  <c r="R389" i="5"/>
  <c r="S389" i="5"/>
  <c r="R529" i="5"/>
  <c r="S529" i="5"/>
  <c r="R350" i="5"/>
  <c r="S350" i="5"/>
  <c r="S111" i="5"/>
  <c r="R111" i="5"/>
  <c r="S542" i="5"/>
  <c r="R542" i="5"/>
  <c r="R269" i="5"/>
  <c r="S269" i="5"/>
  <c r="R460" i="5"/>
  <c r="S460" i="5"/>
  <c r="R123" i="5"/>
  <c r="S123" i="5"/>
  <c r="S168" i="5"/>
  <c r="R168" i="5"/>
  <c r="R137" i="5"/>
  <c r="S137" i="5"/>
  <c r="R69" i="5"/>
  <c r="S69" i="5"/>
  <c r="R400" i="5"/>
  <c r="S400" i="5"/>
  <c r="R416" i="5"/>
  <c r="S416" i="5"/>
  <c r="R504" i="5"/>
  <c r="S504" i="5"/>
  <c r="R495" i="5"/>
  <c r="S495" i="5"/>
  <c r="R459" i="5"/>
  <c r="S459" i="5"/>
  <c r="R150" i="5"/>
  <c r="S150" i="5"/>
  <c r="Q11" i="5"/>
  <c r="AG11" i="5"/>
  <c r="AT11" i="5"/>
  <c r="AM11" i="5"/>
  <c r="AZ11" i="5"/>
  <c r="T11" i="5"/>
  <c r="AW11" i="5"/>
  <c r="AJ11" i="5"/>
  <c r="W11" i="5"/>
  <c r="Z11" i="5"/>
  <c r="AN103" i="4"/>
  <c r="AK103" i="4"/>
  <c r="AL103" i="4" s="1"/>
  <c r="AF103" i="4"/>
  <c r="AG103" i="4" s="1"/>
  <c r="AI103" i="4" s="1"/>
  <c r="AP103" i="4"/>
  <c r="AQ103" i="4"/>
  <c r="AC103" i="4"/>
  <c r="AD103" i="4" s="1"/>
  <c r="BE9" i="5"/>
  <c r="BD9" i="5"/>
  <c r="AP147" i="4"/>
  <c r="AC147" i="4"/>
  <c r="AD147" i="4" s="1"/>
  <c r="AQ147" i="4"/>
  <c r="AN30" i="4"/>
  <c r="AK30" i="4"/>
  <c r="AL30" i="4" s="1"/>
  <c r="AF30" i="4"/>
  <c r="AG30" i="4" s="1"/>
  <c r="AI30" i="4" s="1"/>
  <c r="AK44" i="4"/>
  <c r="AL44" i="4" s="1"/>
  <c r="AN44" i="4"/>
  <c r="AF44" i="4"/>
  <c r="AG44" i="4" s="1"/>
  <c r="AI44" i="4" s="1"/>
  <c r="AK33" i="4"/>
  <c r="AL33" i="4" s="1"/>
  <c r="AF33" i="4"/>
  <c r="AG33" i="4" s="1"/>
  <c r="AI33" i="4" s="1"/>
  <c r="AN33" i="4"/>
  <c r="BJ445" i="5"/>
  <c r="BK445" i="5"/>
  <c r="AR500" i="5"/>
  <c r="BI500" i="5"/>
  <c r="AQ500" i="5"/>
  <c r="AQ127" i="5"/>
  <c r="BI127" i="5"/>
  <c r="AR127" i="5"/>
  <c r="BK465" i="5"/>
  <c r="BJ465" i="5"/>
  <c r="BJ425" i="5"/>
  <c r="BK425" i="5"/>
  <c r="AK107" i="4"/>
  <c r="AL107" i="4" s="1"/>
  <c r="AN107" i="4"/>
  <c r="AF107" i="4"/>
  <c r="AG107" i="4" s="1"/>
  <c r="AI107" i="4" s="1"/>
  <c r="AN11" i="4"/>
  <c r="AK11" i="4"/>
  <c r="AL11" i="4" s="1"/>
  <c r="AF11" i="4"/>
  <c r="AG11" i="4" s="1"/>
  <c r="AI11" i="4" s="1"/>
  <c r="AN18" i="4"/>
  <c r="AF18" i="4"/>
  <c r="AG18" i="4" s="1"/>
  <c r="AI18" i="4" s="1"/>
  <c r="AK18" i="4"/>
  <c r="AL18" i="4" s="1"/>
  <c r="AN19" i="4"/>
  <c r="AK19" i="4"/>
  <c r="AL19" i="4" s="1"/>
  <c r="AF19" i="4"/>
  <c r="AG19" i="4" s="1"/>
  <c r="AI19" i="4" s="1"/>
  <c r="AF7" i="4"/>
  <c r="AG7" i="4" s="1"/>
  <c r="AI7" i="4" s="1"/>
  <c r="AN7" i="4"/>
  <c r="AK7" i="4"/>
  <c r="AL7" i="4" s="1"/>
  <c r="AK83" i="4"/>
  <c r="AL83" i="4" s="1"/>
  <c r="AN83" i="4"/>
  <c r="AF83" i="4"/>
  <c r="AG83" i="4" s="1"/>
  <c r="AI83" i="4" s="1"/>
  <c r="AR9" i="5"/>
  <c r="AQ9" i="5"/>
  <c r="BI9" i="5"/>
  <c r="BJ430" i="5"/>
  <c r="BK430" i="5"/>
  <c r="AQ267" i="5"/>
  <c r="BI267" i="5"/>
  <c r="AR267" i="5"/>
  <c r="BK128" i="5"/>
  <c r="AQ72" i="4"/>
  <c r="AP72" i="4"/>
  <c r="AC72" i="4"/>
  <c r="AD72" i="4" s="1"/>
  <c r="AN49" i="4"/>
  <c r="AF49" i="4"/>
  <c r="AG49" i="4" s="1"/>
  <c r="AI49" i="4" s="1"/>
  <c r="AQ71" i="4"/>
  <c r="AP71" i="4"/>
  <c r="AC71" i="4"/>
  <c r="AD71" i="4" s="1"/>
  <c r="BJ513" i="5"/>
  <c r="BK513" i="5"/>
  <c r="AR77" i="5"/>
  <c r="AQ77" i="5"/>
  <c r="BI77" i="5"/>
  <c r="BK55" i="5"/>
  <c r="BJ55" i="5"/>
  <c r="BK467" i="5"/>
  <c r="BJ467" i="5"/>
  <c r="BK401" i="5"/>
  <c r="BJ401" i="5"/>
  <c r="BK123" i="5"/>
  <c r="BJ123" i="5"/>
  <c r="BK520" i="5"/>
  <c r="BJ520" i="5"/>
  <c r="AR416" i="5"/>
  <c r="BI416" i="5"/>
  <c r="AQ416" i="5"/>
  <c r="BJ215" i="5"/>
  <c r="BK215" i="5"/>
  <c r="BK482" i="5"/>
  <c r="BJ482" i="5"/>
  <c r="BJ559" i="5"/>
  <c r="BK559" i="5"/>
  <c r="AN146" i="4"/>
  <c r="AK146" i="4"/>
  <c r="AL146" i="4" s="1"/>
  <c r="AF146" i="4"/>
  <c r="AG146" i="4" s="1"/>
  <c r="AI146" i="4" s="1"/>
  <c r="AP68" i="4"/>
  <c r="AC68" i="4"/>
  <c r="AD68" i="4" s="1"/>
  <c r="AQ68" i="4"/>
  <c r="AN20" i="4"/>
  <c r="AF20" i="4"/>
  <c r="AG20" i="4" s="1"/>
  <c r="AI20" i="4" s="1"/>
  <c r="AK20" i="4"/>
  <c r="AL20" i="4" s="1"/>
  <c r="AN88" i="4"/>
  <c r="AK88" i="4"/>
  <c r="AL88" i="4" s="1"/>
  <c r="AF88" i="4"/>
  <c r="AG88" i="4" s="1"/>
  <c r="AI88" i="4" s="1"/>
  <c r="AQ70" i="4"/>
  <c r="AP70" i="4"/>
  <c r="AC70" i="4"/>
  <c r="AD70" i="4" s="1"/>
  <c r="AQ150" i="4"/>
  <c r="AP150" i="4"/>
  <c r="AC150" i="4"/>
  <c r="AD150" i="4" s="1"/>
  <c r="BK309" i="5"/>
  <c r="BJ309" i="5"/>
  <c r="BJ438" i="5"/>
  <c r="BK438" i="5"/>
  <c r="BK36" i="5"/>
  <c r="BJ36" i="5"/>
  <c r="BJ46" i="5"/>
  <c r="BK46" i="5"/>
  <c r="BK453" i="5"/>
  <c r="BJ453" i="5"/>
  <c r="BK236" i="5"/>
  <c r="BJ236" i="5"/>
  <c r="BJ369" i="5"/>
  <c r="BK369" i="5"/>
  <c r="BK204" i="5"/>
  <c r="BJ204" i="5"/>
  <c r="BJ470" i="5"/>
  <c r="BK470" i="5"/>
  <c r="BK81" i="5"/>
  <c r="BJ81" i="5"/>
  <c r="BK407" i="5"/>
  <c r="BJ407" i="5"/>
  <c r="AR84" i="5"/>
  <c r="BI84" i="5"/>
  <c r="AQ84" i="5"/>
  <c r="BJ49" i="5"/>
  <c r="BK49" i="5"/>
  <c r="R179" i="5"/>
  <c r="S179" i="5"/>
  <c r="S35" i="5"/>
  <c r="R35" i="5"/>
  <c r="S550" i="5"/>
  <c r="R550" i="5"/>
  <c r="R375" i="5"/>
  <c r="S375" i="5"/>
  <c r="S264" i="5"/>
  <c r="R264" i="5"/>
  <c r="S265" i="5"/>
  <c r="R265" i="5"/>
  <c r="R323" i="5"/>
  <c r="S323" i="5"/>
  <c r="R369" i="5"/>
  <c r="S369" i="5"/>
  <c r="S373" i="5"/>
  <c r="R373" i="5"/>
  <c r="S109" i="5"/>
  <c r="R109" i="5"/>
  <c r="S56" i="5"/>
  <c r="R56" i="5"/>
  <c r="S141" i="5"/>
  <c r="R141" i="5"/>
  <c r="S80" i="5"/>
  <c r="R80" i="5"/>
  <c r="R121" i="5"/>
  <c r="S121" i="5"/>
  <c r="R25" i="5"/>
  <c r="S25" i="5"/>
  <c r="R36" i="5"/>
  <c r="S36" i="5"/>
  <c r="R47" i="5"/>
  <c r="S47" i="5"/>
  <c r="R102" i="5"/>
  <c r="S102" i="5"/>
  <c r="R299" i="5"/>
  <c r="S299" i="5"/>
  <c r="S520" i="5"/>
  <c r="R520" i="5"/>
  <c r="R507" i="5"/>
  <c r="S507" i="5"/>
  <c r="R234" i="5"/>
  <c r="S234" i="5"/>
  <c r="R57" i="5"/>
  <c r="S57" i="5"/>
  <c r="R413" i="5"/>
  <c r="S413" i="5"/>
  <c r="S181" i="5"/>
  <c r="R181" i="5"/>
  <c r="R398" i="5"/>
  <c r="S398" i="5"/>
  <c r="R138" i="5"/>
  <c r="S138" i="5"/>
  <c r="R559" i="5"/>
  <c r="S559" i="5"/>
  <c r="R21" i="5"/>
  <c r="S21" i="5"/>
  <c r="R98" i="5"/>
  <c r="S98" i="5"/>
  <c r="S425" i="5"/>
  <c r="R425" i="5"/>
  <c r="S544" i="5"/>
  <c r="R544" i="5"/>
  <c r="S560" i="5"/>
  <c r="R560" i="5"/>
  <c r="S145" i="5"/>
  <c r="R145" i="5"/>
  <c r="R335" i="5"/>
  <c r="S335" i="5"/>
  <c r="R280" i="5"/>
  <c r="S280" i="5"/>
  <c r="S22" i="5"/>
  <c r="R22" i="5"/>
  <c r="R510" i="5"/>
  <c r="S510" i="5"/>
  <c r="R355" i="5"/>
  <c r="S355" i="5"/>
  <c r="S271" i="5"/>
  <c r="R271" i="5"/>
  <c r="R127" i="5"/>
  <c r="S127" i="5"/>
  <c r="S152" i="5"/>
  <c r="R152" i="5"/>
  <c r="R313" i="5"/>
  <c r="S313" i="5"/>
  <c r="R521" i="5"/>
  <c r="S521" i="5"/>
  <c r="R490" i="5"/>
  <c r="S490" i="5"/>
  <c r="R450" i="5"/>
  <c r="S450" i="5"/>
  <c r="R532" i="5"/>
  <c r="S532" i="5"/>
  <c r="S268" i="5"/>
  <c r="R268" i="5"/>
  <c r="S276" i="5"/>
  <c r="R276" i="5"/>
  <c r="R337" i="5"/>
  <c r="S337" i="5"/>
  <c r="R468" i="5"/>
  <c r="S468" i="5"/>
  <c r="S426" i="5"/>
  <c r="R426" i="5"/>
  <c r="R475" i="5"/>
  <c r="S475" i="5"/>
  <c r="S174" i="5"/>
  <c r="R174" i="5"/>
  <c r="S482" i="5"/>
  <c r="R482" i="5"/>
  <c r="S76" i="5"/>
  <c r="R76" i="5"/>
  <c r="S445" i="5"/>
  <c r="R445" i="5"/>
  <c r="R115" i="5"/>
  <c r="S115" i="5"/>
  <c r="R341" i="5"/>
  <c r="S341" i="5"/>
  <c r="S374" i="5"/>
  <c r="R374" i="5"/>
  <c r="S290" i="5"/>
  <c r="R290" i="5"/>
  <c r="S487" i="5"/>
  <c r="R487" i="5"/>
  <c r="S247" i="5"/>
  <c r="R247" i="5"/>
  <c r="S558" i="5"/>
  <c r="R558" i="5"/>
  <c r="S345" i="5"/>
  <c r="R345" i="5"/>
  <c r="R330" i="5"/>
  <c r="S330" i="5"/>
  <c r="R371" i="5"/>
  <c r="S371" i="5"/>
  <c r="S75" i="5"/>
  <c r="R75" i="5"/>
  <c r="R483" i="5"/>
  <c r="S483" i="5"/>
  <c r="R523" i="5"/>
  <c r="S523" i="5"/>
  <c r="R474" i="5"/>
  <c r="S474" i="5"/>
  <c r="R229" i="5"/>
  <c r="S229" i="5"/>
  <c r="R549" i="5"/>
  <c r="S549" i="5"/>
  <c r="S479" i="5"/>
  <c r="R479" i="5"/>
  <c r="S372" i="5"/>
  <c r="R372" i="5"/>
  <c r="R95" i="5"/>
  <c r="S95" i="5"/>
  <c r="R255" i="5"/>
  <c r="S255" i="5"/>
  <c r="R384" i="5"/>
  <c r="S384" i="5"/>
  <c r="R155" i="5"/>
  <c r="S155" i="5"/>
  <c r="S496" i="5"/>
  <c r="R496" i="5"/>
  <c r="R278" i="5"/>
  <c r="S278" i="5"/>
  <c r="R368" i="5"/>
  <c r="S368" i="5"/>
  <c r="S40" i="5"/>
  <c r="R40" i="5"/>
  <c r="S453" i="5"/>
  <c r="R453" i="5"/>
  <c r="S44" i="5"/>
  <c r="R44" i="5"/>
  <c r="R309" i="5"/>
  <c r="S309" i="5"/>
  <c r="S334" i="5"/>
  <c r="R334" i="5"/>
  <c r="R202" i="5"/>
  <c r="S202" i="5"/>
  <c r="S61" i="5"/>
  <c r="R61" i="5"/>
  <c r="R46" i="5"/>
  <c r="S46" i="5"/>
  <c r="S396" i="5"/>
  <c r="R396" i="5"/>
  <c r="S157" i="5"/>
  <c r="R157" i="5"/>
  <c r="R480" i="5"/>
  <c r="S480" i="5"/>
  <c r="S279" i="5"/>
  <c r="R279" i="5"/>
  <c r="R351" i="5"/>
  <c r="S351" i="5"/>
  <c r="R64" i="5"/>
  <c r="S64" i="5"/>
  <c r="R505" i="5"/>
  <c r="S505" i="5"/>
  <c r="S515" i="5"/>
  <c r="R515" i="5"/>
  <c r="S29" i="5"/>
  <c r="R29" i="5"/>
  <c r="R266" i="5"/>
  <c r="S266" i="5"/>
  <c r="R530" i="5"/>
  <c r="S530" i="5"/>
  <c r="S333" i="5"/>
  <c r="R333" i="5"/>
  <c r="S538" i="5"/>
  <c r="R538" i="5"/>
  <c r="R359" i="5"/>
  <c r="S359" i="5"/>
  <c r="S39" i="5"/>
  <c r="R39" i="5"/>
  <c r="R110" i="5"/>
  <c r="S110" i="5"/>
  <c r="S356" i="5"/>
  <c r="R356" i="5"/>
  <c r="S99" i="5"/>
  <c r="R99" i="5"/>
  <c r="R301" i="5"/>
  <c r="S301" i="5"/>
  <c r="S212" i="5"/>
  <c r="R212" i="5"/>
  <c r="S273" i="5"/>
  <c r="R273" i="5"/>
  <c r="R238" i="5"/>
  <c r="S238" i="5"/>
  <c r="R246" i="5"/>
  <c r="S246" i="5"/>
  <c r="R283" i="5"/>
  <c r="S283" i="5"/>
  <c r="R24" i="5"/>
  <c r="S24" i="5"/>
  <c r="R390" i="5"/>
  <c r="S390" i="5"/>
  <c r="S113" i="5"/>
  <c r="R113" i="5"/>
  <c r="R12" i="5"/>
  <c r="S12" i="5"/>
  <c r="R466" i="5"/>
  <c r="S466" i="5"/>
  <c r="R156" i="5"/>
  <c r="S156" i="5"/>
  <c r="S81" i="5"/>
  <c r="R81" i="5"/>
  <c r="S363" i="5"/>
  <c r="R363" i="5"/>
  <c r="S452" i="5"/>
  <c r="R452" i="5"/>
  <c r="S451" i="5"/>
  <c r="R451" i="5"/>
  <c r="S244" i="5"/>
  <c r="R244" i="5"/>
  <c r="R134" i="5"/>
  <c r="S134" i="5"/>
  <c r="S386" i="5"/>
  <c r="R386" i="5"/>
  <c r="S442" i="5"/>
  <c r="R442" i="5"/>
  <c r="R281" i="5"/>
  <c r="S281" i="5"/>
  <c r="R233" i="5"/>
  <c r="S233" i="5"/>
  <c r="R488" i="5"/>
  <c r="S488" i="5"/>
  <c r="R131" i="5"/>
  <c r="S131" i="5"/>
  <c r="R292" i="5"/>
  <c r="S292" i="5"/>
  <c r="S45" i="5"/>
  <c r="R45" i="5"/>
  <c r="R402" i="5"/>
  <c r="S402" i="5"/>
  <c r="R464" i="5"/>
  <c r="S464" i="5"/>
  <c r="R154" i="5"/>
  <c r="S154" i="5"/>
  <c r="AK99" i="4"/>
  <c r="AL99" i="4" s="1"/>
  <c r="AF99" i="4"/>
  <c r="AG99" i="4" s="1"/>
  <c r="AI99" i="4" s="1"/>
  <c r="AN99" i="4"/>
  <c r="AP91" i="4"/>
  <c r="AQ91" i="4"/>
  <c r="AC91" i="4"/>
  <c r="AD91" i="4" s="1"/>
  <c r="AK48" i="4"/>
  <c r="AL48" i="4" s="1"/>
  <c r="AN48" i="4"/>
  <c r="AF48" i="4"/>
  <c r="AG48" i="4" s="1"/>
  <c r="AI48" i="4" s="1"/>
  <c r="AC129" i="5"/>
  <c r="AC249" i="5"/>
  <c r="AC167" i="5"/>
  <c r="AC170" i="5"/>
  <c r="AC527" i="5"/>
  <c r="AC315" i="5"/>
  <c r="AN147" i="4"/>
  <c r="AK147" i="4"/>
  <c r="AL147" i="4" s="1"/>
  <c r="AF147" i="4"/>
  <c r="AG147" i="4" s="1"/>
  <c r="AI147" i="4" s="1"/>
  <c r="BK395" i="5"/>
  <c r="BJ395" i="5"/>
  <c r="BK29" i="5"/>
  <c r="BJ29" i="5"/>
  <c r="BJ139" i="5"/>
  <c r="BK139" i="5"/>
  <c r="BK172" i="5"/>
  <c r="BJ172" i="5"/>
  <c r="BJ550" i="5"/>
  <c r="BK550" i="5"/>
  <c r="AP107" i="4"/>
  <c r="AQ107" i="4"/>
  <c r="AC107" i="4"/>
  <c r="AD107" i="4" s="1"/>
  <c r="AN132" i="4"/>
  <c r="AK132" i="4"/>
  <c r="AL132" i="4" s="1"/>
  <c r="AF132" i="4"/>
  <c r="AG132" i="4" s="1"/>
  <c r="AI132" i="4" s="1"/>
  <c r="AQ17" i="4"/>
  <c r="AC17" i="4"/>
  <c r="AD17" i="4" s="1"/>
  <c r="AP17" i="4"/>
  <c r="AK52" i="4"/>
  <c r="AL52" i="4" s="1"/>
  <c r="AN52" i="4"/>
  <c r="AF52" i="4"/>
  <c r="AG52" i="4" s="1"/>
  <c r="AI52" i="4" s="1"/>
  <c r="AF22" i="4"/>
  <c r="AG22" i="4" s="1"/>
  <c r="AI22" i="4" s="1"/>
  <c r="AK22" i="4"/>
  <c r="AL22" i="4" s="1"/>
  <c r="AN22" i="4"/>
  <c r="AK38" i="4"/>
  <c r="AL38" i="4" s="1"/>
  <c r="AN38" i="4"/>
  <c r="AF38" i="4"/>
  <c r="AG38" i="4" s="1"/>
  <c r="AI38" i="4" s="1"/>
  <c r="AR497" i="5"/>
  <c r="BI497" i="5"/>
  <c r="AQ497" i="5"/>
  <c r="AQ33" i="5"/>
  <c r="BI33" i="5"/>
  <c r="AR33" i="5"/>
  <c r="BK370" i="5"/>
  <c r="BJ370" i="5"/>
  <c r="AK72" i="4"/>
  <c r="AL72" i="4" s="1"/>
  <c r="AN72" i="4"/>
  <c r="AF72" i="4"/>
  <c r="AG72" i="4" s="1"/>
  <c r="AI72" i="4" s="1"/>
  <c r="AF14" i="4"/>
  <c r="AG14" i="4" s="1"/>
  <c r="AI14" i="4" s="1"/>
  <c r="AK14" i="4"/>
  <c r="AL14" i="4" s="1"/>
  <c r="AN14" i="4"/>
  <c r="AN23" i="4"/>
  <c r="AK23" i="4"/>
  <c r="AL23" i="4" s="1"/>
  <c r="AF23" i="4"/>
  <c r="AG23" i="4" s="1"/>
  <c r="AI23" i="4" s="1"/>
  <c r="AK153" i="4"/>
  <c r="AL153" i="4" s="1"/>
  <c r="AN153" i="4"/>
  <c r="AF153" i="4"/>
  <c r="AG153" i="4" s="1"/>
  <c r="AI153" i="4" s="1"/>
  <c r="AN26" i="4"/>
  <c r="AF26" i="4"/>
  <c r="AG26" i="4" s="1"/>
  <c r="AI26" i="4" s="1"/>
  <c r="AK157" i="4"/>
  <c r="AL157" i="4" s="1"/>
  <c r="AF157" i="4"/>
  <c r="AG157" i="4" s="1"/>
  <c r="AI157" i="4" s="1"/>
  <c r="BK517" i="5"/>
  <c r="BJ517" i="5"/>
  <c r="BK364" i="5"/>
  <c r="BJ364" i="5"/>
  <c r="BJ138" i="5"/>
  <c r="BK138" i="5"/>
  <c r="BK435" i="5"/>
  <c r="BJ435" i="5"/>
  <c r="BK319" i="5"/>
  <c r="BJ319" i="5"/>
  <c r="BJ48" i="5"/>
  <c r="BK48" i="5"/>
  <c r="BJ558" i="5"/>
  <c r="BK558" i="5"/>
  <c r="AQ209" i="5"/>
  <c r="AR209" i="5"/>
  <c r="BI209" i="5"/>
  <c r="AR13" i="5"/>
  <c r="BI13" i="5"/>
  <c r="AQ13" i="5"/>
  <c r="BK491" i="5"/>
  <c r="BJ491" i="5"/>
  <c r="BK262" i="5"/>
  <c r="BJ262" i="5"/>
  <c r="BK165" i="5"/>
  <c r="BJ165" i="5"/>
  <c r="BJ541" i="5"/>
  <c r="BK541" i="5"/>
  <c r="BJ509" i="5"/>
  <c r="BK509" i="5"/>
  <c r="BK379" i="5"/>
  <c r="BJ379" i="5"/>
  <c r="BJ420" i="5"/>
  <c r="BK420" i="5"/>
  <c r="AN34" i="4"/>
  <c r="AK34" i="4"/>
  <c r="AL34" i="4" s="1"/>
  <c r="AF34" i="4"/>
  <c r="AG34" i="4" s="1"/>
  <c r="AI34" i="4" s="1"/>
  <c r="AQ88" i="4"/>
  <c r="AP88" i="4"/>
  <c r="AC88" i="4"/>
  <c r="AD88" i="4" s="1"/>
  <c r="AN150" i="4"/>
  <c r="AK150" i="4"/>
  <c r="AL150" i="4" s="1"/>
  <c r="AF150" i="4"/>
  <c r="AG150" i="4" s="1"/>
  <c r="AI150" i="4" s="1"/>
  <c r="BJ345" i="5"/>
  <c r="BK345" i="5"/>
  <c r="BK242" i="5"/>
  <c r="BJ242" i="5"/>
  <c r="BI73" i="5"/>
  <c r="AQ73" i="5"/>
  <c r="AR73" i="5"/>
  <c r="BK547" i="5"/>
  <c r="BJ547" i="5"/>
  <c r="BK283" i="5"/>
  <c r="BJ283" i="5"/>
  <c r="AR151" i="5"/>
  <c r="BI151" i="5"/>
  <c r="AQ151" i="5"/>
  <c r="BJ114" i="5"/>
  <c r="BK114" i="5"/>
  <c r="AQ219" i="5"/>
  <c r="BI219" i="5"/>
  <c r="AR219" i="5"/>
  <c r="BK373" i="5"/>
  <c r="BJ373" i="5"/>
  <c r="BJ530" i="5"/>
  <c r="BK530" i="5"/>
  <c r="BJ149" i="5"/>
  <c r="BK149" i="5"/>
  <c r="S311" i="5"/>
  <c r="R311" i="5"/>
  <c r="R183" i="5"/>
  <c r="S183" i="5"/>
  <c r="R13" i="5"/>
  <c r="S13" i="5"/>
  <c r="S302" i="5"/>
  <c r="R302" i="5"/>
  <c r="S242" i="5"/>
  <c r="R242" i="5"/>
  <c r="R367" i="5"/>
  <c r="S367" i="5"/>
  <c r="R118" i="5"/>
  <c r="S118" i="5"/>
  <c r="R423" i="5"/>
  <c r="S423" i="5"/>
  <c r="R256" i="5"/>
  <c r="S256" i="5"/>
  <c r="S182" i="5"/>
  <c r="R182" i="5"/>
  <c r="R555" i="5"/>
  <c r="S555" i="5"/>
  <c r="R394" i="5"/>
  <c r="S394" i="5"/>
  <c r="R331" i="5"/>
  <c r="S331" i="5"/>
  <c r="R267" i="5"/>
  <c r="S267" i="5"/>
  <c r="S557" i="5"/>
  <c r="R557" i="5"/>
  <c r="S105" i="5"/>
  <c r="R105" i="5"/>
  <c r="S512" i="5"/>
  <c r="R512" i="5"/>
  <c r="S357" i="5"/>
  <c r="R357" i="5"/>
  <c r="R435" i="5"/>
  <c r="S435" i="5"/>
  <c r="R209" i="5"/>
  <c r="S209" i="5"/>
  <c r="R201" i="5"/>
  <c r="S201" i="5"/>
  <c r="R441" i="5"/>
  <c r="S441" i="5"/>
  <c r="R415" i="5"/>
  <c r="S415" i="5"/>
  <c r="S68" i="5"/>
  <c r="R68" i="5"/>
  <c r="R514" i="5"/>
  <c r="S514" i="5"/>
  <c r="S225" i="5"/>
  <c r="R225" i="5"/>
  <c r="S190" i="5"/>
  <c r="R190" i="5"/>
  <c r="S537" i="5"/>
  <c r="R537" i="5"/>
  <c r="R500" i="5"/>
  <c r="S500" i="5"/>
  <c r="S319" i="5"/>
  <c r="R319" i="5"/>
  <c r="R193" i="5"/>
  <c r="S193" i="5"/>
  <c r="R295" i="5"/>
  <c r="S295" i="5"/>
  <c r="S142" i="5"/>
  <c r="R142" i="5"/>
  <c r="S169" i="5"/>
  <c r="R169" i="5"/>
  <c r="S516" i="5"/>
  <c r="R516" i="5"/>
  <c r="S457" i="5"/>
  <c r="R457" i="5"/>
  <c r="S481" i="5"/>
  <c r="R481" i="5"/>
  <c r="R221" i="5"/>
  <c r="S221" i="5"/>
  <c r="S227" i="5"/>
  <c r="R227" i="5"/>
  <c r="S439" i="5"/>
  <c r="R439" i="5"/>
  <c r="S395" i="5"/>
  <c r="R395" i="5"/>
  <c r="R148" i="5"/>
  <c r="S148" i="5"/>
  <c r="S90" i="5"/>
  <c r="R90" i="5"/>
  <c r="R447" i="5"/>
  <c r="S447" i="5"/>
  <c r="S360" i="5"/>
  <c r="R360" i="5"/>
  <c r="S526" i="5"/>
  <c r="R526" i="5"/>
  <c r="S407" i="5"/>
  <c r="R407" i="5"/>
  <c r="R405" i="5"/>
  <c r="S405" i="5"/>
  <c r="R42" i="5"/>
  <c r="S42" i="5"/>
  <c r="S436" i="5"/>
  <c r="R436" i="5"/>
  <c r="R186" i="5"/>
  <c r="S186" i="5"/>
  <c r="S165" i="5"/>
  <c r="R165" i="5"/>
  <c r="S294" i="5"/>
  <c r="R294" i="5"/>
  <c r="S170" i="5"/>
  <c r="R170" i="5"/>
  <c r="R284" i="5"/>
  <c r="S284" i="5"/>
  <c r="S30" i="5"/>
  <c r="R30" i="5"/>
  <c r="S551" i="5"/>
  <c r="R551" i="5"/>
  <c r="S449" i="5"/>
  <c r="R449" i="5"/>
  <c r="R485" i="5"/>
  <c r="S485" i="5"/>
  <c r="S54" i="5"/>
  <c r="R54" i="5"/>
  <c r="S92" i="5"/>
  <c r="R92" i="5"/>
  <c r="R365" i="5"/>
  <c r="S365" i="5"/>
  <c r="R208" i="5"/>
  <c r="S208" i="5"/>
  <c r="S43" i="5"/>
  <c r="R43" i="5"/>
  <c r="S139" i="5"/>
  <c r="R139" i="5"/>
  <c r="R524" i="5"/>
  <c r="S524" i="5"/>
  <c r="S275" i="5"/>
  <c r="R275" i="5"/>
  <c r="R245" i="5"/>
  <c r="S245" i="5"/>
  <c r="R470" i="5"/>
  <c r="S470" i="5"/>
  <c r="S554" i="5"/>
  <c r="R554" i="5"/>
  <c r="R136" i="5"/>
  <c r="S136" i="5"/>
  <c r="S236" i="5"/>
  <c r="R236" i="5"/>
  <c r="S397" i="5"/>
  <c r="R397" i="5"/>
  <c r="R277" i="5"/>
  <c r="S277" i="5"/>
  <c r="S167" i="5"/>
  <c r="R167" i="5"/>
  <c r="S332" i="5"/>
  <c r="R332" i="5"/>
  <c r="R347" i="5"/>
  <c r="S347" i="5"/>
  <c r="R176" i="5"/>
  <c r="S176" i="5"/>
  <c r="R291" i="5"/>
  <c r="S291" i="5"/>
  <c r="R159" i="5"/>
  <c r="S159" i="5"/>
  <c r="S185" i="5"/>
  <c r="R185" i="5"/>
  <c r="S263" i="5"/>
  <c r="R263" i="5"/>
  <c r="S88" i="5"/>
  <c r="R88" i="5"/>
  <c r="R499" i="5"/>
  <c r="S499" i="5"/>
  <c r="S28" i="5"/>
  <c r="R28" i="5"/>
  <c r="S219" i="5"/>
  <c r="R219" i="5"/>
  <c r="S300" i="5"/>
  <c r="R300" i="5"/>
  <c r="R288" i="5"/>
  <c r="S288" i="5"/>
  <c r="S344" i="5"/>
  <c r="R344" i="5"/>
  <c r="R78" i="5"/>
  <c r="S78" i="5"/>
  <c r="S8" i="5"/>
  <c r="R8" i="5"/>
  <c r="S541" i="5"/>
  <c r="R541" i="5"/>
  <c r="R387" i="5"/>
  <c r="S387" i="5"/>
  <c r="S428" i="5"/>
  <c r="R428" i="5"/>
  <c r="S543" i="5"/>
  <c r="R543" i="5"/>
  <c r="R114" i="5"/>
  <c r="S114" i="5"/>
  <c r="S382" i="5"/>
  <c r="R382" i="5"/>
  <c r="S438" i="5"/>
  <c r="R438" i="5"/>
  <c r="S518" i="5"/>
  <c r="R518" i="5"/>
  <c r="S293" i="5"/>
  <c r="R293" i="5"/>
  <c r="S326" i="5"/>
  <c r="R326" i="5"/>
  <c r="S463" i="5"/>
  <c r="R463" i="5"/>
  <c r="R207" i="5"/>
  <c r="S207" i="5"/>
  <c r="R336" i="5"/>
  <c r="S336" i="5"/>
  <c r="R132" i="5"/>
  <c r="S132" i="5"/>
  <c r="R62" i="5"/>
  <c r="S62" i="5"/>
  <c r="S321" i="5"/>
  <c r="R321" i="5"/>
  <c r="R327" i="5"/>
  <c r="S327" i="5"/>
  <c r="S215" i="5"/>
  <c r="R215" i="5"/>
  <c r="R272" i="5"/>
  <c r="S272" i="5"/>
  <c r="R96" i="5"/>
  <c r="S96" i="5"/>
  <c r="S513" i="5"/>
  <c r="R513" i="5"/>
  <c r="S217" i="5"/>
  <c r="R217" i="5"/>
  <c r="R161" i="5"/>
  <c r="S161" i="5"/>
  <c r="R547" i="5"/>
  <c r="S547" i="5"/>
  <c r="S322" i="5"/>
  <c r="R322" i="5"/>
  <c r="S70" i="5"/>
  <c r="R70" i="5"/>
  <c r="R89" i="5"/>
  <c r="S89" i="5"/>
  <c r="R458" i="5"/>
  <c r="S458" i="5"/>
  <c r="R317" i="5"/>
  <c r="S317" i="5"/>
  <c r="S286" i="5"/>
  <c r="R286" i="5"/>
  <c r="R173" i="5"/>
  <c r="S173" i="5"/>
  <c r="R517" i="5"/>
  <c r="S517" i="5"/>
  <c r="S117" i="5"/>
  <c r="R117" i="5"/>
  <c r="S33" i="5"/>
  <c r="R33" i="5"/>
  <c r="R534" i="5"/>
  <c r="S534" i="5"/>
  <c r="R194" i="5"/>
  <c r="S194" i="5"/>
  <c r="R285" i="5"/>
  <c r="S285" i="5"/>
  <c r="S214" i="5"/>
  <c r="R214" i="5"/>
  <c r="R455" i="5"/>
  <c r="S455" i="5"/>
  <c r="S79" i="5"/>
  <c r="R79" i="5"/>
  <c r="S339" i="5"/>
  <c r="R339" i="5"/>
  <c r="S325" i="5"/>
  <c r="R325" i="5"/>
  <c r="S404" i="5"/>
  <c r="R404" i="5"/>
  <c r="S424" i="5"/>
  <c r="R424" i="5"/>
  <c r="R385" i="5"/>
  <c r="S385" i="5"/>
  <c r="R53" i="5"/>
  <c r="S53" i="5"/>
  <c r="AN24" i="4"/>
  <c r="AF24" i="4"/>
  <c r="AG24" i="4" s="1"/>
  <c r="AI24" i="4" s="1"/>
  <c r="AK24" i="4"/>
  <c r="AL24" i="4" s="1"/>
  <c r="AN50" i="4"/>
  <c r="AF50" i="4"/>
  <c r="AG50" i="4" s="1"/>
  <c r="AI50" i="4" s="1"/>
  <c r="AC248" i="5"/>
  <c r="AC235" i="5"/>
  <c r="AC218" i="5"/>
  <c r="AC525" i="5"/>
  <c r="AC304" i="5"/>
  <c r="AC494" i="5"/>
  <c r="AN8" i="4"/>
  <c r="AK8" i="4"/>
  <c r="AL8" i="4" s="1"/>
  <c r="AF8" i="4"/>
  <c r="AG8" i="4" s="1"/>
  <c r="AI8" i="4" s="1"/>
  <c r="AN15" i="4"/>
  <c r="AF15" i="4"/>
  <c r="AG15" i="4" s="1"/>
  <c r="AI15" i="4" s="1"/>
  <c r="AK15" i="4"/>
  <c r="AL15" i="4" s="1"/>
  <c r="AQ524" i="5"/>
  <c r="AR524" i="5"/>
  <c r="BI524" i="5"/>
  <c r="BK131" i="5"/>
  <c r="BJ131" i="5"/>
  <c r="BK30" i="5"/>
  <c r="BJ30" i="5"/>
  <c r="AK115" i="4"/>
  <c r="AL115" i="4" s="1"/>
  <c r="AN115" i="4"/>
  <c r="AF115" i="4"/>
  <c r="AG115" i="4" s="1"/>
  <c r="AI115" i="4" s="1"/>
  <c r="AN21" i="4"/>
  <c r="AK21" i="4"/>
  <c r="AL21" i="4" s="1"/>
  <c r="AF21" i="4"/>
  <c r="AG21" i="4" s="1"/>
  <c r="AI21" i="4" s="1"/>
  <c r="AR452" i="5"/>
  <c r="BI452" i="5"/>
  <c r="AQ452" i="5"/>
  <c r="BK440" i="5"/>
  <c r="BJ440" i="5"/>
  <c r="BK98" i="5"/>
  <c r="BJ98" i="5"/>
  <c r="BK189" i="5"/>
  <c r="BJ189" i="5"/>
  <c r="BJ234" i="5"/>
  <c r="BK234" i="5"/>
  <c r="AN32" i="4"/>
  <c r="AF32" i="4"/>
  <c r="AG32" i="4" s="1"/>
  <c r="AI32" i="4" s="1"/>
  <c r="AN42" i="4"/>
  <c r="AF42" i="4"/>
  <c r="AG42" i="4" s="1"/>
  <c r="AI42" i="4" s="1"/>
  <c r="AP153" i="4"/>
  <c r="AQ153" i="4"/>
  <c r="AC153" i="4"/>
  <c r="AD153" i="4" s="1"/>
  <c r="AQ157" i="4"/>
  <c r="AP157" i="4"/>
  <c r="AC157" i="4"/>
  <c r="AD157" i="4" s="1"/>
  <c r="AN71" i="4"/>
  <c r="AK71" i="4"/>
  <c r="AL71" i="4" s="1"/>
  <c r="AF71" i="4"/>
  <c r="AG71" i="4" s="1"/>
  <c r="AI71" i="4" s="1"/>
  <c r="BK305" i="5"/>
  <c r="BJ305" i="5"/>
  <c r="BK112" i="5"/>
  <c r="BJ112" i="5"/>
  <c r="BJ415" i="5"/>
  <c r="BK415" i="5"/>
  <c r="BJ334" i="5"/>
  <c r="BK334" i="5"/>
  <c r="BJ385" i="5"/>
  <c r="BK385" i="5"/>
  <c r="BK323" i="5"/>
  <c r="BJ323" i="5"/>
  <c r="BJ161" i="5"/>
  <c r="BK161" i="5"/>
  <c r="BJ222" i="5"/>
  <c r="BK222" i="5"/>
  <c r="BK160" i="5"/>
  <c r="BJ160" i="5"/>
  <c r="BJ479" i="5"/>
  <c r="BK479" i="5"/>
  <c r="BK239" i="5"/>
  <c r="BJ239" i="5"/>
  <c r="BJ553" i="5"/>
  <c r="BK553" i="5"/>
  <c r="AQ54" i="5"/>
  <c r="BI54" i="5"/>
  <c r="AR54" i="5"/>
  <c r="BK271" i="5"/>
  <c r="BJ271" i="5"/>
  <c r="BJ174" i="5"/>
  <c r="BK174" i="5"/>
  <c r="AK41" i="4"/>
  <c r="AL41" i="4" s="1"/>
  <c r="AN41" i="4"/>
  <c r="AF41" i="4"/>
  <c r="AG41" i="4" s="1"/>
  <c r="AI41" i="4" s="1"/>
  <c r="AN39" i="4"/>
  <c r="AK39" i="4"/>
  <c r="AL39" i="4" s="1"/>
  <c r="AF39" i="4"/>
  <c r="AG39" i="4" s="1"/>
  <c r="AI39" i="4" s="1"/>
  <c r="AQ119" i="4"/>
  <c r="AP119" i="4"/>
  <c r="AC119" i="4"/>
  <c r="AD119" i="4" s="1"/>
  <c r="BJ206" i="5"/>
  <c r="BK206" i="5"/>
  <c r="BJ169" i="5"/>
  <c r="BK169" i="5"/>
  <c r="AQ372" i="5"/>
  <c r="AR372" i="5"/>
  <c r="BI372" i="5"/>
  <c r="BK207" i="5"/>
  <c r="BJ207" i="5"/>
  <c r="BJ175" i="5"/>
  <c r="BK175" i="5"/>
  <c r="BK384" i="5"/>
  <c r="BJ384" i="5"/>
  <c r="BK121" i="5"/>
  <c r="BJ121" i="5"/>
  <c r="BJ103" i="5"/>
  <c r="BK103" i="5"/>
  <c r="BJ409" i="5"/>
  <c r="BK409" i="5"/>
  <c r="BK220" i="5"/>
  <c r="BJ220" i="5"/>
  <c r="BI485" i="5"/>
  <c r="AR485" i="5"/>
  <c r="AQ485" i="5"/>
  <c r="BJ383" i="5"/>
  <c r="BK383" i="5"/>
  <c r="BK306" i="5"/>
  <c r="BJ306" i="5"/>
  <c r="BK289" i="5"/>
  <c r="BJ289" i="5"/>
  <c r="BK113" i="5"/>
  <c r="BJ113" i="5"/>
  <c r="S63" i="5"/>
  <c r="R63" i="5"/>
  <c r="S282" i="5"/>
  <c r="R282" i="5"/>
  <c r="S522" i="5"/>
  <c r="R522" i="5"/>
  <c r="S318" i="5"/>
  <c r="R318" i="5"/>
  <c r="R303" i="5"/>
  <c r="S303" i="5"/>
  <c r="S443" i="5"/>
  <c r="R443" i="5"/>
  <c r="S210" i="5"/>
  <c r="R210" i="5"/>
  <c r="R509" i="5"/>
  <c r="S509" i="5"/>
  <c r="S298" i="5"/>
  <c r="R298" i="5"/>
  <c r="S497" i="5"/>
  <c r="R497" i="5"/>
  <c r="S191" i="5"/>
  <c r="R191" i="5"/>
  <c r="S91" i="5"/>
  <c r="R91" i="5"/>
  <c r="R237" i="5"/>
  <c r="S237" i="5"/>
  <c r="R93" i="5"/>
  <c r="S93" i="5"/>
  <c r="S527" i="5"/>
  <c r="R527" i="5"/>
  <c r="S60" i="5"/>
  <c r="R60" i="5"/>
  <c r="R180" i="5"/>
  <c r="S180" i="5"/>
  <c r="S116" i="5"/>
  <c r="R116" i="5"/>
  <c r="S249" i="5"/>
  <c r="R249" i="5"/>
  <c r="S71" i="5"/>
  <c r="R71" i="5"/>
  <c r="R120" i="5"/>
  <c r="S120" i="5"/>
  <c r="S65" i="5"/>
  <c r="R65" i="5"/>
  <c r="R476" i="5"/>
  <c r="S476" i="5"/>
  <c r="R462" i="5"/>
  <c r="S462" i="5"/>
  <c r="S306" i="5"/>
  <c r="R306" i="5"/>
  <c r="R206" i="5"/>
  <c r="S206" i="5"/>
  <c r="R391" i="5"/>
  <c r="S391" i="5"/>
  <c r="R231" i="5"/>
  <c r="S231" i="5"/>
  <c r="R342" i="5"/>
  <c r="S342" i="5"/>
  <c r="R218" i="5"/>
  <c r="S218" i="5"/>
  <c r="S539" i="5"/>
  <c r="R539" i="5"/>
  <c r="S376" i="5"/>
  <c r="R376" i="5"/>
  <c r="R50" i="5"/>
  <c r="S50" i="5"/>
  <c r="S252" i="5"/>
  <c r="R252" i="5"/>
  <c r="R188" i="5"/>
  <c r="S188" i="5"/>
  <c r="R67" i="5"/>
  <c r="S67" i="5"/>
  <c r="R383" i="5"/>
  <c r="S383" i="5"/>
  <c r="S235" i="5"/>
  <c r="R235" i="5"/>
  <c r="S226" i="5"/>
  <c r="R226" i="5"/>
  <c r="R94" i="5"/>
  <c r="S94" i="5"/>
  <c r="S112" i="5"/>
  <c r="R112" i="5"/>
  <c r="R493" i="5"/>
  <c r="S493" i="5"/>
  <c r="R353" i="5"/>
  <c r="S353" i="5"/>
  <c r="S316" i="5"/>
  <c r="R316" i="5"/>
  <c r="S310" i="5"/>
  <c r="R310" i="5"/>
  <c r="S86" i="5"/>
  <c r="R86" i="5"/>
  <c r="S478" i="5"/>
  <c r="R478" i="5"/>
  <c r="S87" i="5"/>
  <c r="R87" i="5"/>
  <c r="S260" i="5"/>
  <c r="R260" i="5"/>
  <c r="S502" i="5"/>
  <c r="R502" i="5"/>
  <c r="R241" i="5"/>
  <c r="S241" i="5"/>
  <c r="R410" i="5"/>
  <c r="S410" i="5"/>
  <c r="R430" i="5"/>
  <c r="S430" i="5"/>
  <c r="S354" i="5"/>
  <c r="R354" i="5"/>
  <c r="S122" i="5"/>
  <c r="R122" i="5"/>
  <c r="R192" i="5"/>
  <c r="S192" i="5"/>
  <c r="S220" i="5"/>
  <c r="R220" i="5"/>
  <c r="R32" i="5"/>
  <c r="S32" i="5"/>
  <c r="S417" i="5"/>
  <c r="R417" i="5"/>
  <c r="R308" i="5"/>
  <c r="S308" i="5"/>
  <c r="R314" i="5"/>
  <c r="S314" i="5"/>
  <c r="S254" i="5"/>
  <c r="R254" i="5"/>
  <c r="R166" i="5"/>
  <c r="S166" i="5"/>
  <c r="R101" i="5"/>
  <c r="S101" i="5"/>
  <c r="S545" i="5"/>
  <c r="R545" i="5"/>
  <c r="R305" i="5"/>
  <c r="S305" i="5"/>
  <c r="S498" i="5"/>
  <c r="R498" i="5"/>
  <c r="S352" i="5"/>
  <c r="R352" i="5"/>
  <c r="S51" i="5"/>
  <c r="R51" i="5"/>
  <c r="S10" i="5"/>
  <c r="R10" i="5"/>
  <c r="R548" i="5"/>
  <c r="S548" i="5"/>
  <c r="R422" i="5"/>
  <c r="S422" i="5"/>
  <c r="S440" i="5"/>
  <c r="R440" i="5"/>
  <c r="R175" i="5"/>
  <c r="S175" i="5"/>
  <c r="S251" i="5"/>
  <c r="R251" i="5"/>
  <c r="S243" i="5"/>
  <c r="R243" i="5"/>
  <c r="S472" i="5"/>
  <c r="R472" i="5"/>
  <c r="S492" i="5"/>
  <c r="R492" i="5"/>
  <c r="R338" i="5"/>
  <c r="S338" i="5"/>
  <c r="S130" i="5"/>
  <c r="R130" i="5"/>
  <c r="S456" i="5"/>
  <c r="R456" i="5"/>
  <c r="S399" i="5"/>
  <c r="R399" i="5"/>
  <c r="S329" i="5"/>
  <c r="R329" i="5"/>
  <c r="S377" i="5"/>
  <c r="R377" i="5"/>
  <c r="R38" i="5"/>
  <c r="S38" i="5"/>
  <c r="R364" i="5"/>
  <c r="S364" i="5"/>
  <c r="R250" i="5"/>
  <c r="S250" i="5"/>
  <c r="R528" i="5"/>
  <c r="S528" i="5"/>
  <c r="R477" i="5"/>
  <c r="S477" i="5"/>
  <c r="S411" i="5"/>
  <c r="R411" i="5"/>
  <c r="R213" i="5"/>
  <c r="S213" i="5"/>
  <c r="S501" i="5"/>
  <c r="R501" i="5"/>
  <c r="R73" i="5"/>
  <c r="S73" i="5"/>
  <c r="R199" i="5"/>
  <c r="S199" i="5"/>
  <c r="R484" i="5"/>
  <c r="S484" i="5"/>
  <c r="S409" i="5"/>
  <c r="R409" i="5"/>
  <c r="R27" i="5"/>
  <c r="S27" i="5"/>
  <c r="S211" i="5"/>
  <c r="R211" i="5"/>
  <c r="S304" i="5"/>
  <c r="R304" i="5"/>
  <c r="R26" i="5"/>
  <c r="S26" i="5"/>
  <c r="S58" i="5"/>
  <c r="R58" i="5"/>
  <c r="R184" i="5"/>
  <c r="S184" i="5"/>
  <c r="S348" i="5"/>
  <c r="R348" i="5"/>
  <c r="S328" i="5"/>
  <c r="R328" i="5"/>
  <c r="R448" i="5"/>
  <c r="S448" i="5"/>
  <c r="S23" i="5"/>
  <c r="R23" i="5"/>
  <c r="S388" i="5"/>
  <c r="R388" i="5"/>
  <c r="R224" i="5"/>
  <c r="S224" i="5"/>
  <c r="S52" i="5"/>
  <c r="R52" i="5"/>
  <c r="R104" i="5"/>
  <c r="S104" i="5"/>
  <c r="R97" i="5"/>
  <c r="S97" i="5"/>
  <c r="R108" i="5"/>
  <c r="S108" i="5"/>
  <c r="S146" i="5"/>
  <c r="R146" i="5"/>
  <c r="R361" i="5"/>
  <c r="S361" i="5"/>
  <c r="S124" i="5"/>
  <c r="R124" i="5"/>
  <c r="R503" i="5"/>
  <c r="S503" i="5"/>
  <c r="S144" i="5"/>
  <c r="R144" i="5"/>
  <c r="S465" i="5"/>
  <c r="R465" i="5"/>
  <c r="S274" i="5"/>
  <c r="R274" i="5"/>
  <c r="R119" i="5"/>
  <c r="S119" i="5"/>
  <c r="R55" i="5"/>
  <c r="S55" i="5"/>
  <c r="S540" i="5"/>
  <c r="R540" i="5"/>
  <c r="R362" i="5"/>
  <c r="S362" i="5"/>
  <c r="R531" i="5"/>
  <c r="S531" i="5"/>
  <c r="S103" i="5"/>
  <c r="R103" i="5"/>
  <c r="S158" i="5"/>
  <c r="R158" i="5"/>
  <c r="S133" i="5"/>
  <c r="R133" i="5"/>
  <c r="S143" i="5"/>
  <c r="R143" i="5"/>
  <c r="R366" i="5"/>
  <c r="S366" i="5"/>
  <c r="R421" i="5"/>
  <c r="S421" i="5"/>
  <c r="S48" i="5"/>
  <c r="R48" i="5"/>
  <c r="R471" i="5"/>
  <c r="S471" i="5"/>
  <c r="R392" i="5"/>
  <c r="S392" i="5"/>
  <c r="R177" i="5"/>
  <c r="S177" i="5"/>
  <c r="S418" i="5"/>
  <c r="R418" i="5"/>
  <c r="R287" i="5"/>
  <c r="S287" i="5"/>
  <c r="S408" i="5"/>
  <c r="R408" i="5"/>
  <c r="BH7" i="5"/>
  <c r="BM7" i="5" s="1"/>
  <c r="BG7" i="5"/>
  <c r="BL7" i="5" s="1"/>
  <c r="BJ217" i="5"/>
  <c r="BK217" i="5"/>
  <c r="AK53" i="4"/>
  <c r="AL53" i="4" s="1"/>
  <c r="AN53" i="4"/>
  <c r="AF53" i="4"/>
  <c r="AG53" i="4" s="1"/>
  <c r="AI53" i="4" s="1"/>
  <c r="AC35" i="5"/>
  <c r="AC517" i="5"/>
  <c r="AC444" i="5"/>
  <c r="AC367" i="5"/>
  <c r="AC60" i="5"/>
  <c r="AC496" i="5"/>
  <c r="AC302" i="5"/>
  <c r="AC239" i="5"/>
  <c r="AC188" i="5"/>
  <c r="AC39" i="5"/>
  <c r="AC386" i="5"/>
  <c r="AC529" i="5"/>
  <c r="AC392" i="5"/>
  <c r="AC59" i="5"/>
  <c r="AC355" i="5"/>
  <c r="AC354" i="5"/>
  <c r="AC250" i="5"/>
  <c r="AC310" i="5"/>
  <c r="AC404" i="5"/>
  <c r="AC398" i="5"/>
  <c r="AC200" i="5"/>
  <c r="AC520" i="5"/>
  <c r="AC192" i="5"/>
  <c r="AC179" i="5"/>
  <c r="AC163" i="5"/>
  <c r="AC169" i="5"/>
  <c r="AC78" i="5"/>
  <c r="AC216" i="5"/>
  <c r="AC317" i="5"/>
  <c r="AC146" i="5"/>
  <c r="AC215" i="5"/>
  <c r="AC340" i="5"/>
  <c r="AC219" i="5"/>
  <c r="AC189" i="5"/>
  <c r="AC196" i="5"/>
  <c r="AC365" i="5"/>
  <c r="AC54" i="5"/>
  <c r="AC548" i="5"/>
  <c r="AC536" i="5"/>
  <c r="AC138" i="5"/>
  <c r="AC481" i="5"/>
  <c r="AC136" i="5"/>
  <c r="AC305" i="5"/>
  <c r="AC23" i="5"/>
  <c r="AC321" i="5"/>
  <c r="AC359" i="5"/>
  <c r="AC306" i="5"/>
  <c r="AC255" i="5"/>
  <c r="AC342" i="5"/>
  <c r="AC274" i="5"/>
  <c r="AC347" i="5"/>
  <c r="AC263" i="5"/>
  <c r="AC491" i="5"/>
  <c r="AC237" i="5"/>
  <c r="AC154" i="5"/>
  <c r="AC285" i="5"/>
  <c r="AC426" i="5"/>
  <c r="AC532" i="5"/>
  <c r="AC530" i="5"/>
  <c r="AC267" i="5"/>
  <c r="AC252" i="5"/>
  <c r="AC523" i="5"/>
  <c r="AC389" i="5"/>
  <c r="AC476" i="5"/>
  <c r="AC168" i="5"/>
  <c r="AC159" i="5"/>
  <c r="AC335" i="5"/>
  <c r="AC266" i="5"/>
  <c r="AC290" i="5"/>
  <c r="AC99" i="5"/>
  <c r="AC223" i="5"/>
  <c r="AC307" i="5"/>
  <c r="AC526" i="5"/>
  <c r="AC229" i="5"/>
  <c r="AC155" i="5"/>
  <c r="AC121" i="5"/>
  <c r="AC477" i="5"/>
  <c r="AC394" i="5"/>
  <c r="AC323" i="5"/>
  <c r="AC449" i="5"/>
  <c r="AC231" i="5"/>
  <c r="AC495" i="5"/>
  <c r="AC33" i="5"/>
  <c r="AC535" i="5"/>
  <c r="AC538" i="5"/>
  <c r="AC412" i="5"/>
  <c r="AC82" i="5"/>
  <c r="AC435" i="5"/>
  <c r="AC112" i="5"/>
  <c r="AC262" i="5"/>
  <c r="AC346" i="5"/>
  <c r="AC457" i="5"/>
  <c r="AC185" i="5"/>
  <c r="AC417" i="5"/>
  <c r="AC399" i="5"/>
  <c r="AC171" i="5"/>
  <c r="AC482" i="5"/>
  <c r="AC339" i="5"/>
  <c r="AC74" i="5"/>
  <c r="AC124" i="5"/>
  <c r="AC429" i="5"/>
  <c r="AC349" i="5"/>
  <c r="AC153" i="5"/>
  <c r="AC162" i="5"/>
  <c r="AC243" i="5"/>
  <c r="AC195" i="5"/>
  <c r="AC301" i="5"/>
  <c r="AC402" i="5"/>
  <c r="AC245" i="5"/>
  <c r="AC329" i="5"/>
  <c r="AC458" i="5"/>
  <c r="AC324" i="5"/>
  <c r="AC370" i="5"/>
  <c r="AC554" i="5"/>
  <c r="AC87" i="5"/>
  <c r="AC277" i="5"/>
  <c r="AC254" i="5"/>
  <c r="AC164" i="5"/>
  <c r="AC353" i="5"/>
  <c r="AC473" i="5"/>
  <c r="AC8" i="5"/>
  <c r="AC500" i="5"/>
  <c r="AC209" i="5"/>
  <c r="AC421" i="5"/>
  <c r="AC88" i="5"/>
  <c r="AC110" i="5"/>
  <c r="AC181" i="5"/>
  <c r="AC415" i="5"/>
  <c r="AC144" i="5"/>
  <c r="AC328" i="5"/>
  <c r="AC341" i="5"/>
  <c r="AC542" i="5"/>
  <c r="AC431" i="5"/>
  <c r="AC137" i="5"/>
  <c r="AC19" i="5"/>
  <c r="AC28" i="5"/>
  <c r="AC44" i="5"/>
  <c r="AQ139" i="4"/>
  <c r="AC139" i="4"/>
  <c r="AD139" i="4" s="1"/>
  <c r="AP139" i="4"/>
  <c r="AP104" i="4"/>
  <c r="AQ104" i="4"/>
  <c r="AC104" i="4"/>
  <c r="AD104" i="4" s="1"/>
  <c r="BJ27" i="5"/>
  <c r="BK27" i="5"/>
  <c r="BJ208" i="5"/>
  <c r="BK208" i="5"/>
  <c r="BJ399" i="5"/>
  <c r="BK399" i="5"/>
  <c r="BJ66" i="5"/>
  <c r="BK66" i="5"/>
  <c r="BK23" i="5"/>
  <c r="BJ23" i="5"/>
  <c r="AQ411" i="5"/>
  <c r="BI411" i="5"/>
  <c r="AR411" i="5"/>
  <c r="AQ446" i="5"/>
  <c r="BI446" i="5"/>
  <c r="AR446" i="5"/>
  <c r="AP87" i="4"/>
  <c r="AQ87" i="4"/>
  <c r="AC87" i="4"/>
  <c r="AD87" i="4" s="1"/>
  <c r="AF25" i="4"/>
  <c r="AG25" i="4" s="1"/>
  <c r="AI25" i="4" s="1"/>
  <c r="AK25" i="4"/>
  <c r="AL25" i="4" s="1"/>
  <c r="AN25" i="4"/>
  <c r="AN27" i="4"/>
  <c r="AK27" i="4"/>
  <c r="AL27" i="4" s="1"/>
  <c r="AF27" i="4"/>
  <c r="AG27" i="4" s="1"/>
  <c r="AI27" i="4" s="1"/>
  <c r="BJ170" i="5"/>
  <c r="BK170" i="5"/>
  <c r="BK240" i="5"/>
  <c r="BJ240" i="5"/>
  <c r="BJ472" i="5"/>
  <c r="BK472" i="5"/>
  <c r="BK145" i="5"/>
  <c r="BJ145" i="5"/>
  <c r="BK356" i="5"/>
  <c r="BJ356" i="5"/>
  <c r="AC133" i="5"/>
  <c r="AC454" i="5"/>
  <c r="AC92" i="5"/>
  <c r="AC75" i="5"/>
  <c r="AC193" i="5"/>
  <c r="AC280" i="5"/>
  <c r="AC413" i="5"/>
  <c r="AC244" i="5"/>
  <c r="AC356" i="5"/>
  <c r="AC283" i="5"/>
  <c r="AC456" i="5"/>
  <c r="AC546" i="5"/>
  <c r="AC371" i="5"/>
  <c r="AC557" i="5"/>
  <c r="AC94" i="5"/>
  <c r="AC484" i="5"/>
  <c r="AC460" i="5"/>
  <c r="AC336" i="5"/>
  <c r="AC228" i="5"/>
  <c r="AC174" i="5"/>
  <c r="AC198" i="5"/>
  <c r="AC152" i="5"/>
  <c r="AC173" i="5"/>
  <c r="AC469" i="5"/>
  <c r="AC395" i="5"/>
  <c r="AC251" i="5"/>
  <c r="AC117" i="5"/>
  <c r="AC241" i="5"/>
  <c r="AC407" i="5"/>
  <c r="AC420" i="5"/>
  <c r="AC48" i="5"/>
  <c r="AC471" i="5"/>
  <c r="AC89" i="5"/>
  <c r="AC143" i="5"/>
  <c r="AC428" i="5"/>
  <c r="AC211" i="5"/>
  <c r="AC57" i="5"/>
  <c r="AC490" i="5"/>
  <c r="AC493" i="5"/>
  <c r="AC472" i="5"/>
  <c r="AC177" i="5"/>
  <c r="AC291" i="5"/>
  <c r="AC547" i="5"/>
  <c r="AC199" i="5"/>
  <c r="AC374" i="5"/>
  <c r="AC480" i="5"/>
  <c r="AC351" i="5"/>
  <c r="AC433" i="5"/>
  <c r="AC105" i="5"/>
  <c r="AC497" i="5"/>
  <c r="AC288" i="5"/>
  <c r="AC25" i="5"/>
  <c r="AC427" i="5"/>
  <c r="AC130" i="5"/>
  <c r="AC388" i="5"/>
  <c r="AC483" i="5"/>
  <c r="AC505" i="5"/>
  <c r="AC100" i="5"/>
  <c r="AC53" i="5"/>
  <c r="AC151" i="5"/>
  <c r="AC264" i="5"/>
  <c r="AC156" i="5"/>
  <c r="AC512" i="5"/>
  <c r="AC275" i="5"/>
  <c r="AC303" i="5"/>
  <c r="AC343" i="5"/>
  <c r="AC452" i="5"/>
  <c r="AC67" i="5"/>
  <c r="AC314" i="5"/>
  <c r="AC68" i="5"/>
  <c r="AC295" i="5"/>
  <c r="AC378" i="5"/>
  <c r="AC539" i="5"/>
  <c r="AC65" i="5"/>
  <c r="AC253" i="5"/>
  <c r="AC545" i="5"/>
  <c r="AC47" i="5"/>
  <c r="AC425" i="5"/>
  <c r="AC432" i="5"/>
  <c r="AC333" i="5"/>
  <c r="AC450" i="5"/>
  <c r="AC271" i="5"/>
  <c r="AC287" i="5"/>
  <c r="AC95" i="5"/>
  <c r="AC120" i="5"/>
  <c r="AC289" i="5"/>
  <c r="AC544" i="5"/>
  <c r="AC486" i="5"/>
  <c r="AC488" i="5"/>
  <c r="AC487" i="5"/>
  <c r="AC128" i="5"/>
  <c r="AC203" i="5"/>
  <c r="AC453" i="5"/>
  <c r="AC220" i="5"/>
  <c r="AC191" i="5"/>
  <c r="AC322" i="5"/>
  <c r="AC381" i="5"/>
  <c r="AC207" i="5"/>
  <c r="AC474" i="5"/>
  <c r="AC424" i="5"/>
  <c r="AC41" i="5"/>
  <c r="AC279" i="5"/>
  <c r="AC93" i="5"/>
  <c r="AC393" i="5"/>
  <c r="AC331" i="5"/>
  <c r="AC150" i="5"/>
  <c r="AC236" i="5"/>
  <c r="AC352" i="5"/>
  <c r="AC551" i="5"/>
  <c r="AC549" i="5"/>
  <c r="AC83" i="5"/>
  <c r="AC234" i="5"/>
  <c r="AC316" i="5"/>
  <c r="AC372" i="5"/>
  <c r="AC51" i="5"/>
  <c r="AC187" i="5"/>
  <c r="AC309" i="5"/>
  <c r="AC437" i="5"/>
  <c r="AC507" i="5"/>
  <c r="AC558" i="5"/>
  <c r="AC522" i="5"/>
  <c r="AC210" i="5"/>
  <c r="AC166" i="5"/>
  <c r="AC258" i="5"/>
  <c r="AC70" i="5"/>
  <c r="AC21" i="5"/>
  <c r="AC76" i="5"/>
  <c r="AC282" i="5"/>
  <c r="AC29" i="5"/>
  <c r="AC541" i="5"/>
  <c r="AN51" i="4"/>
  <c r="AK51" i="4"/>
  <c r="AL51" i="4" s="1"/>
  <c r="AF51" i="4"/>
  <c r="AG51" i="4" s="1"/>
  <c r="AI51" i="4" s="1"/>
  <c r="BJ196" i="5"/>
  <c r="BK196" i="5"/>
  <c r="BK436" i="5"/>
  <c r="BJ436" i="5"/>
  <c r="BK182" i="5"/>
  <c r="BJ182" i="5"/>
  <c r="BJ184" i="5"/>
  <c r="BK184" i="5"/>
  <c r="AK120" i="4"/>
  <c r="AL120" i="4" s="1"/>
  <c r="AF120" i="4"/>
  <c r="AG120" i="4" s="1"/>
  <c r="AI120" i="4" s="1"/>
  <c r="AN120" i="4"/>
  <c r="BK94" i="5"/>
  <c r="BJ94" i="5"/>
  <c r="BK135" i="5"/>
  <c r="BJ135" i="5"/>
  <c r="BK490" i="5"/>
  <c r="BJ490" i="5"/>
  <c r="BK156" i="5"/>
  <c r="BJ156" i="5"/>
  <c r="BK45" i="5"/>
  <c r="BJ45" i="5"/>
  <c r="BJ392" i="5"/>
  <c r="BK392" i="5"/>
  <c r="BJ107" i="5"/>
  <c r="BK107" i="5"/>
  <c r="AQ176" i="5"/>
  <c r="AR176" i="5"/>
  <c r="BI176" i="5"/>
  <c r="BJ483" i="5"/>
  <c r="BK483" i="5"/>
  <c r="BJ199" i="5"/>
  <c r="BK199" i="5"/>
  <c r="BK221" i="5"/>
  <c r="BJ221" i="5"/>
  <c r="BK494" i="5"/>
  <c r="BJ494" i="5"/>
  <c r="BK22" i="5"/>
  <c r="BJ22" i="5"/>
  <c r="BJ275" i="5"/>
  <c r="BK275" i="5"/>
  <c r="BJ316" i="5"/>
  <c r="BK316" i="5"/>
  <c r="AN29" i="4"/>
  <c r="AK29" i="4"/>
  <c r="AL29" i="4" s="1"/>
  <c r="AF29" i="4"/>
  <c r="AG29" i="4" s="1"/>
  <c r="AI29" i="4" s="1"/>
  <c r="AQ138" i="4"/>
  <c r="AP138" i="4"/>
  <c r="AC138" i="4"/>
  <c r="AD138" i="4" s="1"/>
  <c r="BJ304" i="5"/>
  <c r="BK304" i="5"/>
  <c r="BK286" i="5"/>
  <c r="BJ286" i="5"/>
  <c r="AN9" i="4"/>
  <c r="AK9" i="4"/>
  <c r="AL9" i="4" s="1"/>
  <c r="AF9" i="4"/>
  <c r="AG9" i="4" s="1"/>
  <c r="AI9" i="4" s="1"/>
  <c r="BJ333" i="5"/>
  <c r="BK333" i="5"/>
  <c r="BJ124" i="5"/>
  <c r="BK124" i="5"/>
  <c r="BJ38" i="5"/>
  <c r="BK38" i="5"/>
  <c r="AC556" i="5"/>
  <c r="AC345" i="5"/>
  <c r="AC233" i="5"/>
  <c r="AC238" i="5"/>
  <c r="AC32" i="5"/>
  <c r="AC232" i="5"/>
  <c r="AC127" i="5"/>
  <c r="AC270" i="5"/>
  <c r="AC10" i="5"/>
  <c r="AC503" i="5"/>
  <c r="AC212" i="5"/>
  <c r="AC145" i="5"/>
  <c r="AC259" i="5"/>
  <c r="AC157" i="5"/>
  <c r="AC227" i="5"/>
  <c r="AC126" i="5"/>
  <c r="AC12" i="5"/>
  <c r="AC334" i="5"/>
  <c r="AC161" i="5"/>
  <c r="AC461" i="5"/>
  <c r="AC293" i="5"/>
  <c r="AC318" i="5"/>
  <c r="AC114" i="5"/>
  <c r="AC176" i="5"/>
  <c r="AC284" i="5"/>
  <c r="AC106" i="5"/>
  <c r="AC86" i="5"/>
  <c r="AC501" i="5"/>
  <c r="AC396" i="5"/>
  <c r="AC205" i="5"/>
  <c r="AC511" i="5"/>
  <c r="AC247" i="5"/>
  <c r="AC63" i="5"/>
  <c r="AC516" i="5"/>
  <c r="AC533" i="5"/>
  <c r="AC508" i="5"/>
  <c r="AC186" i="5"/>
  <c r="AC20" i="5"/>
  <c r="AC246" i="5"/>
  <c r="AC190" i="5"/>
  <c r="AC366" i="5"/>
  <c r="AC182" i="5"/>
  <c r="AC434" i="5"/>
  <c r="AC118" i="5"/>
  <c r="AC66" i="5"/>
  <c r="AC552" i="5"/>
  <c r="AC506" i="5"/>
  <c r="AC201" i="5"/>
  <c r="AC296" i="5"/>
  <c r="AC510" i="5"/>
  <c r="AC222" i="5"/>
  <c r="AC397" i="5"/>
  <c r="AC73" i="5"/>
  <c r="AC308" i="5"/>
  <c r="AC204" i="5"/>
  <c r="AC414" i="5"/>
  <c r="AC327" i="5"/>
  <c r="AC208" i="5"/>
  <c r="AC240" i="5"/>
  <c r="AC178" i="5"/>
  <c r="AC325" i="5"/>
  <c r="AC139" i="5"/>
  <c r="AC555" i="5"/>
  <c r="AC230" i="5"/>
  <c r="AC55" i="5"/>
  <c r="AC470" i="5"/>
  <c r="AC411" i="5"/>
  <c r="AC22" i="5"/>
  <c r="AC268" i="5"/>
  <c r="AC519" i="5"/>
  <c r="AC61" i="5"/>
  <c r="AC269" i="5"/>
  <c r="AC194" i="5"/>
  <c r="AC383" i="5"/>
  <c r="AC492" i="5"/>
  <c r="AC79" i="5"/>
  <c r="AC543" i="5"/>
  <c r="AC122" i="5"/>
  <c r="AC465" i="5"/>
  <c r="AC509" i="5"/>
  <c r="AC72" i="5"/>
  <c r="AC479" i="5"/>
  <c r="AC403" i="5"/>
  <c r="AC320" i="5"/>
  <c r="AC217" i="5"/>
  <c r="AC104" i="5"/>
  <c r="AC401" i="5"/>
  <c r="AC132" i="5"/>
  <c r="AC515" i="5"/>
  <c r="AC134" i="5"/>
  <c r="AC440" i="5"/>
  <c r="AC214" i="5"/>
  <c r="AC332" i="5"/>
  <c r="AC513" i="5"/>
  <c r="AC31" i="5"/>
  <c r="AC36" i="5"/>
  <c r="AC406" i="5"/>
  <c r="AC531" i="5"/>
  <c r="AC98" i="5"/>
  <c r="AC292" i="5"/>
  <c r="AC160" i="5"/>
  <c r="AC265" i="5"/>
  <c r="AC443" i="5"/>
  <c r="AC125" i="5"/>
  <c r="AC485" i="5"/>
  <c r="AC45" i="5"/>
  <c r="AC475" i="5"/>
  <c r="AC362" i="5"/>
  <c r="AC286" i="5"/>
  <c r="AC141" i="5"/>
  <c r="AC90" i="5"/>
  <c r="AC445" i="5"/>
  <c r="AC448" i="5"/>
  <c r="AC38" i="5"/>
  <c r="AC213" i="5"/>
  <c r="AC377" i="5"/>
  <c r="AC430" i="5"/>
  <c r="AC260" i="5"/>
  <c r="AC225" i="5"/>
  <c r="AC419" i="5"/>
  <c r="AC81" i="5"/>
  <c r="AC358" i="5"/>
  <c r="AC49" i="5"/>
  <c r="AC326" i="5"/>
  <c r="AC410" i="5"/>
  <c r="AC97" i="5"/>
  <c r="AC281" i="5"/>
  <c r="AC85" i="5"/>
  <c r="AC524" i="5"/>
  <c r="AC297" i="5"/>
  <c r="AN100" i="4"/>
  <c r="AK100" i="4"/>
  <c r="AL100" i="4" s="1"/>
  <c r="AF100" i="4"/>
  <c r="AG100" i="4" s="1"/>
  <c r="AI100" i="4" s="1"/>
  <c r="AN104" i="4"/>
  <c r="AK104" i="4"/>
  <c r="AL104" i="4" s="1"/>
  <c r="AF104" i="4"/>
  <c r="AG104" i="4" s="1"/>
  <c r="AI104" i="4" s="1"/>
  <c r="AP120" i="4"/>
  <c r="AQ120" i="4"/>
  <c r="AC120" i="4"/>
  <c r="AD120" i="4" s="1"/>
  <c r="AR252" i="5"/>
  <c r="BI252" i="5"/>
  <c r="AQ252" i="5"/>
  <c r="AQ260" i="5"/>
  <c r="AR260" i="5"/>
  <c r="BI260" i="5"/>
  <c r="BK26" i="5"/>
  <c r="BJ26" i="5"/>
  <c r="BJ31" i="5"/>
  <c r="BK31" i="5"/>
  <c r="AR154" i="5"/>
  <c r="BI154" i="5"/>
  <c r="AQ154" i="5"/>
  <c r="BJ339" i="5"/>
  <c r="BK339" i="5"/>
  <c r="BJ307" i="5"/>
  <c r="BK307" i="5"/>
  <c r="BI529" i="5"/>
  <c r="AR529" i="5"/>
  <c r="AQ529" i="5"/>
  <c r="BK119" i="5"/>
  <c r="BJ119" i="5"/>
  <c r="BI68" i="5"/>
  <c r="AR68" i="5"/>
  <c r="AQ68" i="5"/>
  <c r="BJ337" i="5"/>
  <c r="BK337" i="5"/>
  <c r="BJ102" i="5"/>
  <c r="BK102" i="5"/>
  <c r="BJ10" i="5"/>
  <c r="BK10" i="5"/>
  <c r="BJ422" i="5"/>
  <c r="BK422" i="5"/>
  <c r="AP47" i="4"/>
  <c r="AQ47" i="4"/>
  <c r="AC47" i="4"/>
  <c r="AD47" i="4" s="1"/>
  <c r="AK138" i="4"/>
  <c r="AL138" i="4" s="1"/>
  <c r="AN138" i="4"/>
  <c r="AF138" i="4"/>
  <c r="AG138" i="4" s="1"/>
  <c r="AI138" i="4" s="1"/>
  <c r="AQ80" i="4"/>
  <c r="AP80" i="4"/>
  <c r="AC80" i="4"/>
  <c r="AD80" i="4" s="1"/>
  <c r="BK254" i="5"/>
  <c r="BJ254" i="5"/>
  <c r="BK57" i="5"/>
  <c r="BJ57" i="5"/>
  <c r="BK313" i="5"/>
  <c r="BJ313" i="5"/>
  <c r="BK185" i="5"/>
  <c r="BJ185" i="5"/>
  <c r="BK183" i="5"/>
  <c r="BJ183" i="5"/>
  <c r="BJ473" i="5"/>
  <c r="BK473" i="5"/>
  <c r="BK111" i="5"/>
  <c r="BJ111" i="5"/>
  <c r="BK273" i="5"/>
  <c r="BJ273" i="5"/>
  <c r="AQ99" i="4"/>
  <c r="AP99" i="4"/>
  <c r="AC99" i="4"/>
  <c r="AD99" i="4" s="1"/>
  <c r="AN91" i="4"/>
  <c r="AK91" i="4"/>
  <c r="AL91" i="4" s="1"/>
  <c r="AF91" i="4"/>
  <c r="AG91" i="4" s="1"/>
  <c r="AI91" i="4" s="1"/>
  <c r="AK46" i="4"/>
  <c r="AL46" i="4" s="1"/>
  <c r="AN46" i="4"/>
  <c r="AF46" i="4"/>
  <c r="AG46" i="4" s="1"/>
  <c r="AI46" i="4" s="1"/>
  <c r="AC9" i="5"/>
  <c r="AC455" i="5"/>
  <c r="AC344" i="5"/>
  <c r="AC96" i="5"/>
  <c r="AC382" i="5"/>
  <c r="AC311" i="5"/>
  <c r="AC534" i="5"/>
  <c r="AC459" i="5"/>
  <c r="AC363" i="5"/>
  <c r="AC58" i="5"/>
  <c r="AC330" i="5"/>
  <c r="AC50" i="5"/>
  <c r="AC313" i="5"/>
  <c r="AC423" i="5"/>
  <c r="AC135" i="5"/>
  <c r="AC142" i="5"/>
  <c r="AC224" i="5"/>
  <c r="AC111" i="5"/>
  <c r="AC439" i="5"/>
  <c r="AC261" i="5"/>
  <c r="AC24" i="5"/>
  <c r="AC71" i="5"/>
  <c r="AC312" i="5"/>
  <c r="AC206" i="5"/>
  <c r="AC257" i="5"/>
  <c r="AC273" i="5"/>
  <c r="AC147" i="5"/>
  <c r="AC140" i="5"/>
  <c r="AC131" i="5"/>
  <c r="AC540" i="5"/>
  <c r="AC400" i="5"/>
  <c r="AC103" i="5"/>
  <c r="AC375" i="5"/>
  <c r="AC357" i="5"/>
  <c r="AC502" i="5"/>
  <c r="AC361" i="5"/>
  <c r="AC390" i="5"/>
  <c r="AC553" i="5"/>
  <c r="AC102" i="5"/>
  <c r="AC52" i="5"/>
  <c r="AC338" i="5"/>
  <c r="AC221" i="5"/>
  <c r="AC467" i="5"/>
  <c r="AC26" i="5"/>
  <c r="AC226" i="5"/>
  <c r="AC446" i="5"/>
  <c r="AC158" i="5"/>
  <c r="AC436" i="5"/>
  <c r="AC550" i="5"/>
  <c r="AC165" i="5"/>
  <c r="AC202" i="5"/>
  <c r="AC368" i="5"/>
  <c r="AC80" i="5"/>
  <c r="AC278" i="5"/>
  <c r="AC464" i="5"/>
  <c r="AC478" i="5"/>
  <c r="AC463" i="5"/>
  <c r="AC376" i="5"/>
  <c r="AC387" i="5"/>
  <c r="AC183" i="5"/>
  <c r="AC108" i="5"/>
  <c r="AC422" i="5"/>
  <c r="AC184" i="5"/>
  <c r="AC197" i="5"/>
  <c r="AC84" i="5"/>
  <c r="AC294" i="5"/>
  <c r="AC498" i="5"/>
  <c r="AC385" i="5"/>
  <c r="AC380" i="5"/>
  <c r="AC499" i="5"/>
  <c r="AC298" i="5"/>
  <c r="AC409" i="5"/>
  <c r="AC113" i="5"/>
  <c r="AC148" i="5"/>
  <c r="AC107" i="5"/>
  <c r="AC391" i="5"/>
  <c r="AC489" i="5"/>
  <c r="AC43" i="5"/>
  <c r="AC360" i="5"/>
  <c r="AC101" i="5"/>
  <c r="AC30" i="5"/>
  <c r="AC337" i="5"/>
  <c r="AC40" i="5"/>
  <c r="AC172" i="5"/>
  <c r="AC379" i="5"/>
  <c r="AC408" i="5"/>
  <c r="AC116" i="5"/>
  <c r="AC518" i="5"/>
  <c r="AC276" i="5"/>
  <c r="AC175" i="5"/>
  <c r="AC528" i="5"/>
  <c r="AC384" i="5"/>
  <c r="AC451" i="5"/>
  <c r="AC441" i="5"/>
  <c r="AC56" i="5"/>
  <c r="AC91" i="5"/>
  <c r="AC438" i="5"/>
  <c r="AC416" i="5"/>
  <c r="AC109" i="5"/>
  <c r="AC364" i="5"/>
  <c r="AC13" i="5"/>
  <c r="AC319" i="5"/>
  <c r="AC300" i="5"/>
  <c r="AC69" i="5"/>
  <c r="AC442" i="5"/>
  <c r="AC462" i="5"/>
  <c r="AC42" i="5"/>
  <c r="AC64" i="5"/>
  <c r="AC123" i="5"/>
  <c r="AC537" i="5"/>
  <c r="AC521" i="5"/>
  <c r="AC447" i="5"/>
  <c r="AC350" i="5"/>
  <c r="AC369" i="5"/>
  <c r="AC115" i="5"/>
  <c r="AC27" i="5"/>
  <c r="AC149" i="5"/>
  <c r="AC373" i="5"/>
  <c r="AC504" i="5"/>
  <c r="AC180" i="5"/>
  <c r="AC34" i="5"/>
  <c r="AC119" i="5"/>
  <c r="AC242" i="5"/>
  <c r="AC299" i="5"/>
  <c r="AC466" i="5"/>
  <c r="AC272" i="5"/>
  <c r="AC514" i="5"/>
  <c r="AC559" i="5"/>
  <c r="AC62" i="5"/>
  <c r="AC560" i="5"/>
  <c r="AC77" i="5"/>
  <c r="AC37" i="5"/>
  <c r="AC405" i="5"/>
  <c r="AC468" i="5"/>
  <c r="AC256" i="5"/>
  <c r="AC348" i="5"/>
  <c r="AC46" i="5"/>
  <c r="AQ100" i="4"/>
  <c r="AP100" i="4"/>
  <c r="AC100" i="4"/>
  <c r="AD100" i="4" s="1"/>
  <c r="AN139" i="4"/>
  <c r="AK139" i="4"/>
  <c r="AL139" i="4" s="1"/>
  <c r="AF139" i="4"/>
  <c r="AG139" i="4" s="1"/>
  <c r="AI139" i="4" s="1"/>
  <c r="BJ245" i="5"/>
  <c r="BK245" i="5"/>
  <c r="BJ412" i="5"/>
  <c r="BK412" i="5"/>
  <c r="BJ278" i="5"/>
  <c r="BK278" i="5"/>
  <c r="BJ408" i="5"/>
  <c r="BK408" i="5"/>
  <c r="AQ394" i="5"/>
  <c r="AR394" i="5"/>
  <c r="BI394" i="5"/>
  <c r="BK134" i="5"/>
  <c r="BJ134" i="5"/>
  <c r="BK403" i="5"/>
  <c r="BJ403" i="5"/>
  <c r="BK87" i="5"/>
  <c r="BJ87" i="5"/>
  <c r="BJ469" i="5"/>
  <c r="BK469" i="5"/>
  <c r="BJ522" i="5"/>
  <c r="BK522" i="5"/>
  <c r="AQ444" i="5"/>
  <c r="AR444" i="5"/>
  <c r="BI444" i="5"/>
  <c r="BJ41" i="5"/>
  <c r="BK41" i="5"/>
  <c r="BJ235" i="5"/>
  <c r="BK235" i="5"/>
  <c r="BI159" i="5"/>
  <c r="AQ159" i="5"/>
  <c r="AR159" i="5"/>
  <c r="BK61" i="5"/>
  <c r="BJ61" i="5"/>
  <c r="BK195" i="5"/>
  <c r="BJ195" i="5"/>
  <c r="BK101" i="5"/>
  <c r="BJ101" i="5"/>
  <c r="BJ519" i="5"/>
  <c r="BK519" i="5"/>
  <c r="BK331" i="5"/>
  <c r="BJ331" i="5"/>
  <c r="BJ534" i="5"/>
  <c r="BK534" i="5"/>
  <c r="AN87" i="4"/>
  <c r="AK87" i="4"/>
  <c r="AL87" i="4" s="1"/>
  <c r="AF87" i="4"/>
  <c r="AG87" i="4" s="1"/>
  <c r="AI87" i="4" s="1"/>
  <c r="AN47" i="4"/>
  <c r="AK47" i="4"/>
  <c r="AL47" i="4" s="1"/>
  <c r="AF47" i="4"/>
  <c r="AG47" i="4" s="1"/>
  <c r="AI47" i="4" s="1"/>
  <c r="AK35" i="4"/>
  <c r="AL35" i="4" s="1"/>
  <c r="AN35" i="4"/>
  <c r="AF35" i="4"/>
  <c r="AG35" i="4" s="1"/>
  <c r="AI35" i="4" s="1"/>
  <c r="AK10" i="4"/>
  <c r="AL10" i="4" s="1"/>
  <c r="AN10" i="4"/>
  <c r="AF10" i="4"/>
  <c r="AG10" i="4" s="1"/>
  <c r="AI10" i="4" s="1"/>
  <c r="AK80" i="4"/>
  <c r="AL80" i="4" s="1"/>
  <c r="AN80" i="4"/>
  <c r="AF80" i="4"/>
  <c r="AG80" i="4" s="1"/>
  <c r="AI80" i="4" s="1"/>
  <c r="AF16" i="4"/>
  <c r="AG16" i="4" s="1"/>
  <c r="AI16" i="4" s="1"/>
  <c r="AN16" i="4"/>
  <c r="AK16" i="4"/>
  <c r="AL16" i="4" s="1"/>
  <c r="BJ538" i="5"/>
  <c r="BK538" i="5"/>
  <c r="BJ546" i="5"/>
  <c r="BK546" i="5"/>
  <c r="BJ489" i="5"/>
  <c r="BK489" i="5"/>
  <c r="BJ456" i="5" l="1"/>
  <c r="BK343" i="5"/>
  <c r="BK140" i="5"/>
  <c r="BJ80" i="5"/>
  <c r="BK178" i="5"/>
  <c r="BJ270" i="5"/>
  <c r="BJ535" i="5"/>
  <c r="BK338" i="5"/>
  <c r="BK282" i="5"/>
  <c r="BK193" i="5"/>
  <c r="BK397" i="5"/>
  <c r="BK418" i="5"/>
  <c r="BJ274" i="5"/>
  <c r="BK368" i="5"/>
  <c r="BK202" i="5"/>
  <c r="BK228" i="5"/>
  <c r="BK117" i="5"/>
  <c r="BK375" i="5"/>
  <c r="BK250" i="5"/>
  <c r="BK344" i="5"/>
  <c r="BK243" i="5"/>
  <c r="BK227" i="5"/>
  <c r="BK545" i="5"/>
  <c r="BJ244" i="5"/>
  <c r="BJ391" i="5"/>
  <c r="BK326" i="5"/>
  <c r="BJ279" i="5"/>
  <c r="BJ560" i="5"/>
  <c r="BK241" i="5"/>
  <c r="BK64" i="5"/>
  <c r="BJ272" i="5"/>
  <c r="BK324" i="5"/>
  <c r="BK285" i="5"/>
  <c r="BK340" i="5"/>
  <c r="BK52" i="5"/>
  <c r="BK32" i="5"/>
  <c r="BK365" i="5"/>
  <c r="BK526" i="5"/>
  <c r="BK528" i="5"/>
  <c r="BJ230" i="5"/>
  <c r="BK132" i="5"/>
  <c r="BK514" i="5"/>
  <c r="BK164" i="5"/>
  <c r="BJ181" i="5"/>
  <c r="BK363" i="5"/>
  <c r="BJ171" i="5"/>
  <c r="BJ200" i="5"/>
  <c r="BJ173" i="5"/>
  <c r="AC10" i="4"/>
  <c r="AD10" i="4" s="1"/>
  <c r="BK466" i="5"/>
  <c r="BJ133" i="5"/>
  <c r="BJ432" i="5"/>
  <c r="BJ237" i="5"/>
  <c r="BJ40" i="5"/>
  <c r="BJ292" i="5"/>
  <c r="AN58" i="4"/>
  <c r="AK58" i="4"/>
  <c r="AL58" i="4" s="1"/>
  <c r="BK536" i="5"/>
  <c r="BK105" i="5"/>
  <c r="AC145" i="4"/>
  <c r="AD145" i="4" s="1"/>
  <c r="BJ476" i="5"/>
  <c r="BJ246" i="5"/>
  <c r="BJ358" i="5"/>
  <c r="BJ287" i="5"/>
  <c r="BK192" i="5"/>
  <c r="BK253" i="5"/>
  <c r="BJ20" i="5"/>
  <c r="BK515" i="5"/>
  <c r="AN127" i="4"/>
  <c r="AO127" i="4" s="1"/>
  <c r="BK96" i="5"/>
  <c r="BK387" i="5"/>
  <c r="AF86" i="4"/>
  <c r="AG86" i="4" s="1"/>
  <c r="AI86" i="4" s="1"/>
  <c r="AK86" i="4"/>
  <c r="AL86" i="4" s="1"/>
  <c r="AO86" i="4" s="1"/>
  <c r="BJ501" i="5"/>
  <c r="BK39" i="5"/>
  <c r="AF127" i="4"/>
  <c r="AG127" i="4" s="1"/>
  <c r="AI127" i="4" s="1"/>
  <c r="BK512" i="5"/>
  <c r="BK8" i="5"/>
  <c r="BK349" i="5"/>
  <c r="BJ158" i="5"/>
  <c r="BJ70" i="5"/>
  <c r="BJ281" i="5"/>
  <c r="BJ266" i="5"/>
  <c r="AN130" i="4"/>
  <c r="AK130" i="4"/>
  <c r="AL130" i="4" s="1"/>
  <c r="BK410" i="5"/>
  <c r="AN131" i="4"/>
  <c r="AO131" i="4" s="1"/>
  <c r="BJ463" i="5"/>
  <c r="AQ86" i="4"/>
  <c r="BJ477" i="5"/>
  <c r="AQ145" i="4"/>
  <c r="BJ71" i="5"/>
  <c r="BJ137" i="5"/>
  <c r="AC130" i="4"/>
  <c r="AD130" i="4" s="1"/>
  <c r="AQ130" i="4"/>
  <c r="BK143" i="5"/>
  <c r="BJ421" i="5"/>
  <c r="BJ214" i="5"/>
  <c r="AF123" i="4"/>
  <c r="AG123" i="4" s="1"/>
  <c r="AI123" i="4" s="1"/>
  <c r="BJ298" i="5"/>
  <c r="BK478" i="5"/>
  <c r="AN123" i="4"/>
  <c r="AO123" i="4" s="1"/>
  <c r="AC86" i="4"/>
  <c r="AD86" i="4" s="1"/>
  <c r="BJ115" i="5"/>
  <c r="AC126" i="4"/>
  <c r="AD126" i="4" s="1"/>
  <c r="BK389" i="5"/>
  <c r="BJ177" i="5"/>
  <c r="BJ439" i="5"/>
  <c r="BJ471" i="5"/>
  <c r="BK74" i="5"/>
  <c r="BK277" i="5"/>
  <c r="BK521" i="5"/>
  <c r="BK367" i="5"/>
  <c r="BJ516" i="5"/>
  <c r="BK355" i="5"/>
  <c r="BK442" i="5"/>
  <c r="BJ43" i="5"/>
  <c r="BK146" i="5"/>
  <c r="BJ468" i="5"/>
  <c r="BK224" i="5"/>
  <c r="BJ510" i="5"/>
  <c r="BJ194" i="5"/>
  <c r="BK21" i="5"/>
  <c r="BJ231" i="5"/>
  <c r="BJ428" i="5"/>
  <c r="BK544" i="5"/>
  <c r="BJ475" i="5"/>
  <c r="BJ82" i="5"/>
  <c r="BJ321" i="5"/>
  <c r="AF58" i="4"/>
  <c r="AG58" i="4" s="1"/>
  <c r="AI58" i="4" s="1"/>
  <c r="BJ414" i="5"/>
  <c r="BK532" i="5"/>
  <c r="BK361" i="5"/>
  <c r="BK86" i="5"/>
  <c r="BJ346" i="5"/>
  <c r="BJ434" i="5"/>
  <c r="AN145" i="4"/>
  <c r="BJ24" i="5"/>
  <c r="BJ229" i="5"/>
  <c r="AK145" i="4"/>
  <c r="AL145" i="4" s="1"/>
  <c r="BK551" i="5"/>
  <c r="BJ484" i="5"/>
  <c r="BK167" i="5"/>
  <c r="BJ480" i="5"/>
  <c r="AQ127" i="4"/>
  <c r="BK213" i="5"/>
  <c r="AN75" i="4"/>
  <c r="AP127" i="4"/>
  <c r="BJ141" i="5"/>
  <c r="AQ29" i="4"/>
  <c r="BK232" i="5"/>
  <c r="AN92" i="4"/>
  <c r="AO92" i="4" s="1"/>
  <c r="BJ261" i="5"/>
  <c r="AF92" i="4"/>
  <c r="AG92" i="4" s="1"/>
  <c r="AI92" i="4" s="1"/>
  <c r="BK108" i="5"/>
  <c r="BJ162" i="5"/>
  <c r="BK449" i="5"/>
  <c r="BK106" i="5"/>
  <c r="BK486" i="5"/>
  <c r="BK303" i="5"/>
  <c r="AP125" i="4"/>
  <c r="BJ85" i="5"/>
  <c r="AF78" i="4"/>
  <c r="AG78" i="4" s="1"/>
  <c r="AI78" i="4" s="1"/>
  <c r="AQ125" i="4"/>
  <c r="AN78" i="4"/>
  <c r="AO78" i="4" s="1"/>
  <c r="BJ507" i="5"/>
  <c r="BJ42" i="5"/>
  <c r="BK336" i="5"/>
  <c r="BJ258" i="5"/>
  <c r="BJ458" i="5"/>
  <c r="AF131" i="4"/>
  <c r="AG131" i="4" s="1"/>
  <c r="AI131" i="4" s="1"/>
  <c r="BK542" i="5"/>
  <c r="AQ126" i="4"/>
  <c r="BK78" i="5"/>
  <c r="BJ125" i="5"/>
  <c r="BJ256" i="5"/>
  <c r="BK330" i="5"/>
  <c r="AQ85" i="4"/>
  <c r="AN76" i="4"/>
  <c r="AK42" i="4"/>
  <c r="AL42" i="4" s="1"/>
  <c r="AO42" i="4" s="1"/>
  <c r="AP39" i="4"/>
  <c r="AC53" i="4"/>
  <c r="AD53" i="4" s="1"/>
  <c r="AC39" i="4"/>
  <c r="AD39" i="4" s="1"/>
  <c r="AQ53" i="4"/>
  <c r="BJ92" i="5"/>
  <c r="BK63" i="5"/>
  <c r="BJ557" i="5"/>
  <c r="BK371" i="5"/>
  <c r="BJ259" i="5"/>
  <c r="BK400" i="5"/>
  <c r="BK525" i="5"/>
  <c r="BK95" i="5"/>
  <c r="BK291" i="5"/>
  <c r="BJ268" i="5"/>
  <c r="BJ317" i="5"/>
  <c r="BJ76" i="5"/>
  <c r="BK374" i="5"/>
  <c r="BK150" i="5"/>
  <c r="BJ481" i="5"/>
  <c r="BJ380" i="5"/>
  <c r="BJ376" i="5"/>
  <c r="BK312" i="5"/>
  <c r="BK201" i="5"/>
  <c r="BJ311" i="5"/>
  <c r="BJ362" i="5"/>
  <c r="BJ34" i="5"/>
  <c r="BK433" i="5"/>
  <c r="BJ342" i="5"/>
  <c r="BK59" i="5"/>
  <c r="BJ402" i="5"/>
  <c r="AQ131" i="4"/>
  <c r="BJ212" i="5"/>
  <c r="BK88" i="5"/>
  <c r="BJ487" i="5"/>
  <c r="AQ123" i="4"/>
  <c r="AN126" i="4"/>
  <c r="AO126" i="4" s="1"/>
  <c r="BK12" i="5"/>
  <c r="AC123" i="4"/>
  <c r="AD123" i="4" s="1"/>
  <c r="BJ537" i="5"/>
  <c r="BJ327" i="5"/>
  <c r="BJ299" i="5"/>
  <c r="BJ190" i="5"/>
  <c r="BK437" i="5"/>
  <c r="BJ56" i="5"/>
  <c r="BJ197" i="5"/>
  <c r="BK226" i="5"/>
  <c r="BJ404" i="5"/>
  <c r="BK350" i="5"/>
  <c r="BJ555" i="5"/>
  <c r="BJ233" i="5"/>
  <c r="BK427" i="5"/>
  <c r="BK296" i="5"/>
  <c r="BK502" i="5"/>
  <c r="BK136" i="5"/>
  <c r="BJ75" i="5"/>
  <c r="BK191" i="5"/>
  <c r="BJ168" i="5"/>
  <c r="AP37" i="4"/>
  <c r="BJ448" i="5"/>
  <c r="AC51" i="4"/>
  <c r="AD51" i="4" s="1"/>
  <c r="AP51" i="4"/>
  <c r="BK329" i="5"/>
  <c r="BK35" i="5"/>
  <c r="BK508" i="5"/>
  <c r="BK203" i="5"/>
  <c r="BJ65" i="5"/>
  <c r="BK498" i="5"/>
  <c r="BK455" i="5"/>
  <c r="BK126" i="5"/>
  <c r="BJ318" i="5"/>
  <c r="BK109" i="5"/>
  <c r="BK28" i="5"/>
  <c r="BK205" i="5"/>
  <c r="BK443" i="5"/>
  <c r="BJ166" i="5"/>
  <c r="BJ163" i="5"/>
  <c r="BJ533" i="5"/>
  <c r="BK441" i="5"/>
  <c r="BJ495" i="5"/>
  <c r="BJ60" i="5"/>
  <c r="BK302" i="5"/>
  <c r="BK37" i="5"/>
  <c r="BK238" i="5"/>
  <c r="BJ382" i="5"/>
  <c r="BK276" i="5"/>
  <c r="BK552" i="5"/>
  <c r="BK511" i="5"/>
  <c r="BK25" i="5"/>
  <c r="BK180" i="5"/>
  <c r="BJ79" i="5"/>
  <c r="BJ360" i="5"/>
  <c r="BK366" i="5"/>
  <c r="BK460" i="5"/>
  <c r="BK357" i="5"/>
  <c r="BJ354" i="5"/>
  <c r="BK398" i="5"/>
  <c r="BJ83" i="5"/>
  <c r="BK322" i="5"/>
  <c r="BJ295" i="5"/>
  <c r="BK464" i="5"/>
  <c r="AF109" i="4"/>
  <c r="AG109" i="4" s="1"/>
  <c r="AI109" i="4" s="1"/>
  <c r="BK457" i="5"/>
  <c r="AF148" i="4"/>
  <c r="AG148" i="4" s="1"/>
  <c r="AI148" i="4" s="1"/>
  <c r="BJ290" i="5"/>
  <c r="BK405" i="5"/>
  <c r="BK492" i="5"/>
  <c r="AQ35" i="4"/>
  <c r="AC131" i="4"/>
  <c r="AD131" i="4" s="1"/>
  <c r="AC49" i="4"/>
  <c r="AD49" i="4" s="1"/>
  <c r="AK75" i="4"/>
  <c r="AL75" i="4" s="1"/>
  <c r="AF151" i="4"/>
  <c r="AG151" i="4" s="1"/>
  <c r="AI151" i="4" s="1"/>
  <c r="AK151" i="4"/>
  <c r="AL151" i="4" s="1"/>
  <c r="AO151" i="4" s="1"/>
  <c r="BK493" i="5"/>
  <c r="BJ496" i="5"/>
  <c r="BJ53" i="5"/>
  <c r="BK152" i="5"/>
  <c r="BJ99" i="5"/>
  <c r="AC76" i="4"/>
  <c r="AD76" i="4" s="1"/>
  <c r="BK531" i="5"/>
  <c r="AP76" i="4"/>
  <c r="BJ157" i="5"/>
  <c r="BJ129" i="5"/>
  <c r="BK390" i="5"/>
  <c r="BJ67" i="5"/>
  <c r="AK155" i="4"/>
  <c r="AL155" i="4" s="1"/>
  <c r="AO155" i="4" s="1"/>
  <c r="BJ153" i="5"/>
  <c r="BK335" i="5"/>
  <c r="AF155" i="4"/>
  <c r="AG155" i="4" s="1"/>
  <c r="AI155" i="4" s="1"/>
  <c r="BJ210" i="5"/>
  <c r="BK188" i="5"/>
  <c r="BK269" i="5"/>
  <c r="BJ264" i="5"/>
  <c r="BK110" i="5"/>
  <c r="BK348" i="5"/>
  <c r="AF156" i="4"/>
  <c r="AG156" i="4" s="1"/>
  <c r="AI156" i="4" s="1"/>
  <c r="AN156" i="4"/>
  <c r="AO156" i="4" s="1"/>
  <c r="AP46" i="4"/>
  <c r="BK424" i="5"/>
  <c r="BJ447" i="5"/>
  <c r="BJ58" i="5"/>
  <c r="BK393" i="5"/>
  <c r="BJ450" i="5"/>
  <c r="AK148" i="4"/>
  <c r="AL148" i="4" s="1"/>
  <c r="AO148" i="4" s="1"/>
  <c r="BJ301" i="5"/>
  <c r="AN109" i="4"/>
  <c r="AO109" i="4" s="1"/>
  <c r="BJ100" i="5"/>
  <c r="BJ540" i="5"/>
  <c r="AC30" i="4"/>
  <c r="AD30" i="4" s="1"/>
  <c r="AC56" i="4"/>
  <c r="AD56" i="4" s="1"/>
  <c r="BK91" i="5"/>
  <c r="BK543" i="5"/>
  <c r="AQ30" i="4"/>
  <c r="AP56" i="4"/>
  <c r="BK506" i="5"/>
  <c r="BK347" i="5"/>
  <c r="BK328" i="5"/>
  <c r="BJ310" i="5"/>
  <c r="BK51" i="5"/>
  <c r="BJ378" i="5"/>
  <c r="BK263" i="5"/>
  <c r="BK69" i="5"/>
  <c r="BK315" i="5"/>
  <c r="BK554" i="5"/>
  <c r="BK548" i="5"/>
  <c r="BJ332" i="5"/>
  <c r="AC36" i="4"/>
  <c r="AD36" i="4" s="1"/>
  <c r="BK294" i="5"/>
  <c r="BK353" i="5"/>
  <c r="BK89" i="5"/>
  <c r="BK62" i="5"/>
  <c r="BJ249" i="5"/>
  <c r="BJ142" i="5"/>
  <c r="AN108" i="4"/>
  <c r="AO108" i="4" s="1"/>
  <c r="BJ50" i="5"/>
  <c r="BK488" i="5"/>
  <c r="AN154" i="4"/>
  <c r="AO154" i="4" s="1"/>
  <c r="AF108" i="4"/>
  <c r="AG108" i="4" s="1"/>
  <c r="AI108" i="4" s="1"/>
  <c r="BK198" i="5"/>
  <c r="AC97" i="4"/>
  <c r="AD97" i="4" s="1"/>
  <c r="AQ97" i="4"/>
  <c r="BJ308" i="5"/>
  <c r="BK247" i="5"/>
  <c r="AF154" i="4"/>
  <c r="AG154" i="4" s="1"/>
  <c r="AI154" i="4" s="1"/>
  <c r="BJ93" i="5"/>
  <c r="BK527" i="5"/>
  <c r="BJ44" i="5"/>
  <c r="BJ413" i="5"/>
  <c r="AP124" i="4"/>
  <c r="AF126" i="4"/>
  <c r="AG126" i="4" s="1"/>
  <c r="AI126" i="4" s="1"/>
  <c r="BJ300" i="5"/>
  <c r="BK505" i="5"/>
  <c r="AC52" i="4"/>
  <c r="AD52" i="4" s="1"/>
  <c r="BJ251" i="5"/>
  <c r="BK341" i="5"/>
  <c r="AC58" i="4"/>
  <c r="AD58" i="4" s="1"/>
  <c r="AP58" i="4"/>
  <c r="BK265" i="5"/>
  <c r="AC35" i="4"/>
  <c r="AD35" i="4" s="1"/>
  <c r="AQ154" i="4"/>
  <c r="AK32" i="4"/>
  <c r="AL32" i="4" s="1"/>
  <c r="AO32" i="4" s="1"/>
  <c r="AP154" i="4"/>
  <c r="AF73" i="4"/>
  <c r="AG73" i="4" s="1"/>
  <c r="AI73" i="4" s="1"/>
  <c r="BJ155" i="5"/>
  <c r="AN73" i="4"/>
  <c r="AO73" i="4" s="1"/>
  <c r="B189" i="2"/>
  <c r="B224" i="2" s="1"/>
  <c r="F69" i="1" s="1"/>
  <c r="BJ426" i="5"/>
  <c r="BK503" i="5"/>
  <c r="BK396" i="5"/>
  <c r="AK64" i="4"/>
  <c r="AL64" i="4" s="1"/>
  <c r="AO64" i="4" s="1"/>
  <c r="BJ556" i="5"/>
  <c r="AC73" i="4"/>
  <c r="AD73" i="4" s="1"/>
  <c r="BK454" i="5"/>
  <c r="AP73" i="4"/>
  <c r="AC43" i="4"/>
  <c r="AD43" i="4" s="1"/>
  <c r="BK388" i="5"/>
  <c r="BK104" i="5"/>
  <c r="AQ43" i="4"/>
  <c r="BK459" i="5"/>
  <c r="BJ218" i="5"/>
  <c r="BJ293" i="5"/>
  <c r="AF56" i="4"/>
  <c r="AG56" i="4" s="1"/>
  <c r="AI56" i="4" s="1"/>
  <c r="AN56" i="4"/>
  <c r="AO56" i="4" s="1"/>
  <c r="AJ56" i="4"/>
  <c r="BK7" i="5"/>
  <c r="AF142" i="4"/>
  <c r="AG142" i="4" s="1"/>
  <c r="AI142" i="4" s="1"/>
  <c r="BK523" i="5"/>
  <c r="AK142" i="4"/>
  <c r="AL142" i="4" s="1"/>
  <c r="AO142" i="4" s="1"/>
  <c r="BJ325" i="5"/>
  <c r="BK144" i="5"/>
  <c r="BJ297" i="5"/>
  <c r="AK36" i="4"/>
  <c r="AL36" i="4" s="1"/>
  <c r="AO36" i="4" s="1"/>
  <c r="BJ255" i="5"/>
  <c r="BK248" i="5"/>
  <c r="BK351" i="5"/>
  <c r="AQ52" i="4"/>
  <c r="AQ27" i="4"/>
  <c r="AK49" i="4"/>
  <c r="AL49" i="4" s="1"/>
  <c r="AO49" i="4" s="1"/>
  <c r="AC27" i="4"/>
  <c r="AD27" i="4" s="1"/>
  <c r="AP114" i="4"/>
  <c r="AQ114" i="4"/>
  <c r="AC124" i="4"/>
  <c r="AD124" i="4" s="1"/>
  <c r="AC28" i="4"/>
  <c r="AD28" i="4" s="1"/>
  <c r="AP28" i="4"/>
  <c r="AC41" i="4"/>
  <c r="AD41" i="4" s="1"/>
  <c r="AP78" i="4"/>
  <c r="AC33" i="4"/>
  <c r="AD33" i="4" s="1"/>
  <c r="AP41" i="4"/>
  <c r="AQ33" i="4"/>
  <c r="AK26" i="4"/>
  <c r="AL26" i="4" s="1"/>
  <c r="AO26" i="4" s="1"/>
  <c r="AC48" i="4"/>
  <c r="AD48" i="4" s="1"/>
  <c r="AP36" i="4"/>
  <c r="AQ48" i="4"/>
  <c r="AC31" i="4"/>
  <c r="AD31" i="4" s="1"/>
  <c r="AP31" i="4"/>
  <c r="BK187" i="5"/>
  <c r="AQ49" i="4"/>
  <c r="AC46" i="4"/>
  <c r="AD46" i="4" s="1"/>
  <c r="AQ19" i="4"/>
  <c r="BJ280" i="5"/>
  <c r="AC19" i="4"/>
  <c r="AD19" i="4" s="1"/>
  <c r="BK474" i="5"/>
  <c r="AC152" i="4"/>
  <c r="AD152" i="4" s="1"/>
  <c r="AC44" i="4"/>
  <c r="AD44" i="4" s="1"/>
  <c r="AQ152" i="4"/>
  <c r="AP44" i="4"/>
  <c r="AP29" i="4"/>
  <c r="BJ97" i="5"/>
  <c r="AF105" i="4"/>
  <c r="AG105" i="4" s="1"/>
  <c r="AI105" i="4" s="1"/>
  <c r="AK50" i="4"/>
  <c r="AL50" i="4" s="1"/>
  <c r="AO50" i="4" s="1"/>
  <c r="BK120" i="5"/>
  <c r="BJ130" i="5"/>
  <c r="BJ359" i="5"/>
  <c r="BK179" i="5"/>
  <c r="AK45" i="4"/>
  <c r="AL45" i="4" s="1"/>
  <c r="AO45" i="4" s="1"/>
  <c r="BK314" i="5"/>
  <c r="AF59" i="4"/>
  <c r="AG59" i="4" s="1"/>
  <c r="AI59" i="4" s="1"/>
  <c r="X59" i="4"/>
  <c r="AK59" i="4" s="1"/>
  <c r="AL59" i="4" s="1"/>
  <c r="AC110" i="4"/>
  <c r="AD110" i="4" s="1"/>
  <c r="AP110" i="4"/>
  <c r="AN62" i="4"/>
  <c r="X62" i="4"/>
  <c r="AJ62" i="4" s="1"/>
  <c r="AN61" i="4"/>
  <c r="X61" i="4"/>
  <c r="AN54" i="4"/>
  <c r="X54" i="4"/>
  <c r="AA42" i="4"/>
  <c r="AN117" i="4"/>
  <c r="AO117" i="4" s="1"/>
  <c r="AN65" i="4"/>
  <c r="X65" i="4"/>
  <c r="AJ65" i="4" s="1"/>
  <c r="AN55" i="4"/>
  <c r="X55" i="4"/>
  <c r="AJ55" i="4" s="1"/>
  <c r="AA62" i="4"/>
  <c r="AP62" i="4" s="1"/>
  <c r="AA40" i="4"/>
  <c r="AA64" i="4"/>
  <c r="BK225" i="5"/>
  <c r="X63" i="4"/>
  <c r="AQ101" i="4"/>
  <c r="AQ37" i="4"/>
  <c r="AN60" i="4"/>
  <c r="X60" i="4"/>
  <c r="AN57" i="4"/>
  <c r="X57" i="4"/>
  <c r="AK57" i="4" s="1"/>
  <c r="AL57" i="4" s="1"/>
  <c r="AA45" i="4"/>
  <c r="AK40" i="4"/>
  <c r="AL40" i="4" s="1"/>
  <c r="AO40" i="4" s="1"/>
  <c r="AA50" i="4"/>
  <c r="AN114" i="4"/>
  <c r="AO114" i="4" s="1"/>
  <c r="AC34" i="4"/>
  <c r="AD34" i="4" s="1"/>
  <c r="BJ423" i="5"/>
  <c r="AP34" i="4"/>
  <c r="AC78" i="4"/>
  <c r="AD78" i="4" s="1"/>
  <c r="AA32" i="4"/>
  <c r="AF140" i="4"/>
  <c r="AG140" i="4" s="1"/>
  <c r="AI140" i="4" s="1"/>
  <c r="AN140" i="4"/>
  <c r="AO140" i="4" s="1"/>
  <c r="AC21" i="4"/>
  <c r="AD21" i="4" s="1"/>
  <c r="AQ108" i="4"/>
  <c r="AP21" i="4"/>
  <c r="BK116" i="5"/>
  <c r="AF55" i="4"/>
  <c r="AG55" i="4" s="1"/>
  <c r="AI55" i="4" s="1"/>
  <c r="AF85" i="4"/>
  <c r="AG85" i="4" s="1"/>
  <c r="AI85" i="4" s="1"/>
  <c r="AC75" i="4"/>
  <c r="AD75" i="4" s="1"/>
  <c r="AQ75" i="4"/>
  <c r="AA26" i="4"/>
  <c r="AF114" i="4"/>
  <c r="AG114" i="4" s="1"/>
  <c r="AI114" i="4" s="1"/>
  <c r="BK539" i="5"/>
  <c r="BK90" i="5"/>
  <c r="BJ377" i="5"/>
  <c r="AC85" i="4"/>
  <c r="AD85" i="4" s="1"/>
  <c r="AQ128" i="4"/>
  <c r="BK461" i="5"/>
  <c r="AN69" i="4"/>
  <c r="AO69" i="4" s="1"/>
  <c r="AC101" i="4"/>
  <c r="AD101" i="4" s="1"/>
  <c r="AN105" i="4"/>
  <c r="AO105" i="4" s="1"/>
  <c r="BJ288" i="5"/>
  <c r="AP151" i="4"/>
  <c r="BK72" i="5"/>
  <c r="AF54" i="4"/>
  <c r="AG54" i="4" s="1"/>
  <c r="AI54" i="4" s="1"/>
  <c r="AQ140" i="4"/>
  <c r="AP82" i="4"/>
  <c r="AC142" i="4"/>
  <c r="AD142" i="4" s="1"/>
  <c r="AQ142" i="4"/>
  <c r="AP128" i="4"/>
  <c r="AP8" i="4"/>
  <c r="AC151" i="4"/>
  <c r="AD151" i="4" s="1"/>
  <c r="AK90" i="4"/>
  <c r="AL90" i="4" s="1"/>
  <c r="AP113" i="4"/>
  <c r="AQ77" i="4"/>
  <c r="AF106" i="4"/>
  <c r="AG106" i="4" s="1"/>
  <c r="AI106" i="4" s="1"/>
  <c r="AK85" i="4"/>
  <c r="AL85" i="4" s="1"/>
  <c r="AO85" i="4" s="1"/>
  <c r="AK106" i="4"/>
  <c r="AL106" i="4" s="1"/>
  <c r="AO106" i="4" s="1"/>
  <c r="AC155" i="4"/>
  <c r="AD155" i="4" s="1"/>
  <c r="AQ155" i="4"/>
  <c r="AF134" i="4"/>
  <c r="AG134" i="4" s="1"/>
  <c r="AI134" i="4" s="1"/>
  <c r="AN118" i="4"/>
  <c r="AO118" i="4" s="1"/>
  <c r="AN134" i="4"/>
  <c r="AO134" i="4" s="1"/>
  <c r="AP105" i="4"/>
  <c r="AC89" i="4"/>
  <c r="AD89" i="4" s="1"/>
  <c r="AN90" i="4"/>
  <c r="AC105" i="4"/>
  <c r="AD105" i="4" s="1"/>
  <c r="AC13" i="4"/>
  <c r="AD13" i="4" s="1"/>
  <c r="AP77" i="4"/>
  <c r="AP11" i="4"/>
  <c r="AP89" i="4"/>
  <c r="AC81" i="4"/>
  <c r="AD81" i="4" s="1"/>
  <c r="AC117" i="4"/>
  <c r="AD117" i="4" s="1"/>
  <c r="AF118" i="4"/>
  <c r="AG118" i="4" s="1"/>
  <c r="AI118" i="4" s="1"/>
  <c r="AC95" i="4"/>
  <c r="AD95" i="4" s="1"/>
  <c r="AQ81" i="4"/>
  <c r="AP117" i="4"/>
  <c r="AP95" i="4"/>
  <c r="AC11" i="4"/>
  <c r="AD11" i="4" s="1"/>
  <c r="AC134" i="4"/>
  <c r="AD134" i="4" s="1"/>
  <c r="AQ134" i="4"/>
  <c r="AC148" i="4"/>
  <c r="AD148" i="4" s="1"/>
  <c r="AQ148" i="4"/>
  <c r="AF63" i="4"/>
  <c r="AG63" i="4" s="1"/>
  <c r="AI63" i="4" s="1"/>
  <c r="AN116" i="4"/>
  <c r="AO116" i="4" s="1"/>
  <c r="AF117" i="4"/>
  <c r="AG117" i="4" s="1"/>
  <c r="AI117" i="4" s="1"/>
  <c r="AP129" i="4"/>
  <c r="AQ129" i="4"/>
  <c r="AF57" i="4"/>
  <c r="AG57" i="4" s="1"/>
  <c r="AI57" i="4" s="1"/>
  <c r="AC149" i="4"/>
  <c r="AD149" i="4" s="1"/>
  <c r="AP149" i="4"/>
  <c r="AC82" i="4"/>
  <c r="AD82" i="4" s="1"/>
  <c r="AP90" i="4"/>
  <c r="AK141" i="4"/>
  <c r="AL141" i="4" s="1"/>
  <c r="AO141" i="4" s="1"/>
  <c r="AP140" i="4"/>
  <c r="AP106" i="4"/>
  <c r="AF149" i="4"/>
  <c r="AG149" i="4" s="1"/>
  <c r="AI149" i="4" s="1"/>
  <c r="AQ13" i="4"/>
  <c r="AK129" i="4"/>
  <c r="AL129" i="4" s="1"/>
  <c r="AO129" i="4" s="1"/>
  <c r="AF133" i="4"/>
  <c r="AG133" i="4" s="1"/>
  <c r="AI133" i="4" s="1"/>
  <c r="AK76" i="4"/>
  <c r="AL76" i="4" s="1"/>
  <c r="AQ106" i="4"/>
  <c r="AN149" i="4"/>
  <c r="AO149" i="4" s="1"/>
  <c r="AF129" i="4"/>
  <c r="AG129" i="4" s="1"/>
  <c r="AI129" i="4" s="1"/>
  <c r="AP66" i="4"/>
  <c r="AQ74" i="4"/>
  <c r="AK133" i="4"/>
  <c r="AL133" i="4" s="1"/>
  <c r="AO133" i="4" s="1"/>
  <c r="AC122" i="4"/>
  <c r="AD122" i="4" s="1"/>
  <c r="AP122" i="4"/>
  <c r="AC141" i="4"/>
  <c r="AD141" i="4" s="1"/>
  <c r="AQ10" i="4"/>
  <c r="AQ90" i="4"/>
  <c r="AF141" i="4"/>
  <c r="AG141" i="4" s="1"/>
  <c r="AI141" i="4" s="1"/>
  <c r="AP141" i="4"/>
  <c r="AK136" i="4"/>
  <c r="AL136" i="4" s="1"/>
  <c r="AO136" i="4" s="1"/>
  <c r="AC79" i="4"/>
  <c r="AD79" i="4" s="1"/>
  <c r="AF69" i="4"/>
  <c r="AG69" i="4" s="1"/>
  <c r="AI69" i="4" s="1"/>
  <c r="AF61" i="4"/>
  <c r="AG61" i="4" s="1"/>
  <c r="AI61" i="4" s="1"/>
  <c r="AK110" i="4"/>
  <c r="AL110" i="4" s="1"/>
  <c r="AO110" i="4" s="1"/>
  <c r="AN112" i="4"/>
  <c r="AO112" i="4" s="1"/>
  <c r="AF135" i="4"/>
  <c r="AG135" i="4" s="1"/>
  <c r="AI135" i="4" s="1"/>
  <c r="AP108" i="4"/>
  <c r="AF113" i="4"/>
  <c r="AG113" i="4" s="1"/>
  <c r="AI113" i="4" s="1"/>
  <c r="AC69" i="4"/>
  <c r="AD69" i="4" s="1"/>
  <c r="AK135" i="4"/>
  <c r="AL135" i="4" s="1"/>
  <c r="AO135" i="4" s="1"/>
  <c r="AN113" i="4"/>
  <c r="AO113" i="4" s="1"/>
  <c r="AC98" i="4"/>
  <c r="AD98" i="4" s="1"/>
  <c r="AF122" i="4"/>
  <c r="AG122" i="4" s="1"/>
  <c r="AI122" i="4" s="1"/>
  <c r="AP69" i="4"/>
  <c r="AQ98" i="4"/>
  <c r="AQ133" i="4"/>
  <c r="AK122" i="4"/>
  <c r="AL122" i="4" s="1"/>
  <c r="AO122" i="4" s="1"/>
  <c r="AC94" i="4"/>
  <c r="AD94" i="4" s="1"/>
  <c r="AP144" i="4"/>
  <c r="AF74" i="4"/>
  <c r="AG74" i="4" s="1"/>
  <c r="AI74" i="4" s="1"/>
  <c r="AP94" i="4"/>
  <c r="AQ144" i="4"/>
  <c r="AK101" i="4"/>
  <c r="AL101" i="4" s="1"/>
  <c r="AF111" i="4"/>
  <c r="AG111" i="4" s="1"/>
  <c r="AI111" i="4" s="1"/>
  <c r="AK74" i="4"/>
  <c r="AL74" i="4" s="1"/>
  <c r="AO74" i="4" s="1"/>
  <c r="AN101" i="4"/>
  <c r="AN111" i="4"/>
  <c r="AO111" i="4" s="1"/>
  <c r="AC133" i="4"/>
  <c r="AD133" i="4" s="1"/>
  <c r="AQ109" i="4"/>
  <c r="AP9" i="4"/>
  <c r="AP112" i="4"/>
  <c r="AF110" i="4"/>
  <c r="AG110" i="4" s="1"/>
  <c r="AI110" i="4" s="1"/>
  <c r="AC109" i="4"/>
  <c r="AD109" i="4" s="1"/>
  <c r="AF112" i="4"/>
  <c r="AG112" i="4" s="1"/>
  <c r="AI112" i="4" s="1"/>
  <c r="AP67" i="4"/>
  <c r="AK124" i="4"/>
  <c r="AL124" i="4" s="1"/>
  <c r="AQ112" i="4"/>
  <c r="AC12" i="4"/>
  <c r="AD12" i="4" s="1"/>
  <c r="AC137" i="4"/>
  <c r="AD137" i="4" s="1"/>
  <c r="AQ137" i="4"/>
  <c r="AF152" i="4"/>
  <c r="AG152" i="4" s="1"/>
  <c r="AI152" i="4" s="1"/>
  <c r="AK94" i="4"/>
  <c r="AL94" i="4" s="1"/>
  <c r="AN89" i="4"/>
  <c r="AO89" i="4" s="1"/>
  <c r="AK152" i="4"/>
  <c r="AL152" i="4" s="1"/>
  <c r="AO152" i="4" s="1"/>
  <c r="AN94" i="4"/>
  <c r="AQ67" i="4"/>
  <c r="AC18" i="4"/>
  <c r="AD18" i="4" s="1"/>
  <c r="AC74" i="4"/>
  <c r="AD74" i="4" s="1"/>
  <c r="AF93" i="4"/>
  <c r="AG93" i="4" s="1"/>
  <c r="AI93" i="4" s="1"/>
  <c r="AP14" i="4"/>
  <c r="AK93" i="4"/>
  <c r="AL93" i="4" s="1"/>
  <c r="AO93" i="4" s="1"/>
  <c r="AC14" i="4"/>
  <c r="AD14" i="4" s="1"/>
  <c r="AQ8" i="4"/>
  <c r="AQ18" i="4"/>
  <c r="AQ24" i="4"/>
  <c r="AF136" i="4"/>
  <c r="AG136" i="4" s="1"/>
  <c r="AI136" i="4" s="1"/>
  <c r="AF116" i="4"/>
  <c r="AG116" i="4" s="1"/>
  <c r="AI116" i="4" s="1"/>
  <c r="AC93" i="4"/>
  <c r="AD93" i="4" s="1"/>
  <c r="AQ22" i="4"/>
  <c r="AQ136" i="4"/>
  <c r="AF60" i="4"/>
  <c r="AG60" i="4" s="1"/>
  <c r="AI60" i="4" s="1"/>
  <c r="AN59" i="4"/>
  <c r="AP93" i="4"/>
  <c r="AQ79" i="4"/>
  <c r="AP22" i="4"/>
  <c r="AP136" i="4"/>
  <c r="AC25" i="4"/>
  <c r="AD25" i="4" s="1"/>
  <c r="AK95" i="4"/>
  <c r="AL95" i="4" s="1"/>
  <c r="AO95" i="4" s="1"/>
  <c r="AQ25" i="4"/>
  <c r="AF95" i="4"/>
  <c r="AG95" i="4" s="1"/>
  <c r="AI95" i="4" s="1"/>
  <c r="AF143" i="4"/>
  <c r="AG143" i="4" s="1"/>
  <c r="AI143" i="4" s="1"/>
  <c r="AC24" i="4"/>
  <c r="AD24" i="4" s="1"/>
  <c r="AK143" i="4"/>
  <c r="AL143" i="4" s="1"/>
  <c r="AO143" i="4" s="1"/>
  <c r="AP135" i="4"/>
  <c r="AQ135" i="4"/>
  <c r="AC113" i="4"/>
  <c r="AD113" i="4" s="1"/>
  <c r="AC66" i="4"/>
  <c r="AD66" i="4" s="1"/>
  <c r="AP96" i="4"/>
  <c r="AK137" i="4"/>
  <c r="AL137" i="4" s="1"/>
  <c r="AF97" i="4"/>
  <c r="AG97" i="4" s="1"/>
  <c r="AI97" i="4" s="1"/>
  <c r="AQ16" i="4"/>
  <c r="AF144" i="4"/>
  <c r="AG144" i="4" s="1"/>
  <c r="AI144" i="4" s="1"/>
  <c r="AC11" i="5"/>
  <c r="AE11" i="5" s="1"/>
  <c r="AN97" i="4"/>
  <c r="AO97" i="4" s="1"/>
  <c r="AC92" i="4"/>
  <c r="AD92" i="4" s="1"/>
  <c r="AN82" i="4"/>
  <c r="AO82" i="4" s="1"/>
  <c r="AP7" i="4"/>
  <c r="AQ7" i="4"/>
  <c r="AC23" i="4"/>
  <c r="AD23" i="4" s="1"/>
  <c r="AN144" i="4"/>
  <c r="AO144" i="4" s="1"/>
  <c r="AP92" i="4"/>
  <c r="AF65" i="4"/>
  <c r="AG65" i="4" s="1"/>
  <c r="AI65" i="4" s="1"/>
  <c r="AF67" i="4"/>
  <c r="AG67" i="4" s="1"/>
  <c r="AI67" i="4" s="1"/>
  <c r="AF77" i="4"/>
  <c r="AG77" i="4" s="1"/>
  <c r="AI77" i="4" s="1"/>
  <c r="AQ23" i="4"/>
  <c r="AC111" i="4"/>
  <c r="AD111" i="4" s="1"/>
  <c r="AN67" i="4"/>
  <c r="AO67" i="4" s="1"/>
  <c r="AK77" i="4"/>
  <c r="AL77" i="4" s="1"/>
  <c r="AO77" i="4" s="1"/>
  <c r="AF128" i="4"/>
  <c r="AG128" i="4" s="1"/>
  <c r="AI128" i="4" s="1"/>
  <c r="AK81" i="4"/>
  <c r="AL81" i="4" s="1"/>
  <c r="AO81" i="4" s="1"/>
  <c r="AQ111" i="4"/>
  <c r="AN128" i="4"/>
  <c r="AO128" i="4" s="1"/>
  <c r="AF81" i="4"/>
  <c r="AG81" i="4" s="1"/>
  <c r="AI81" i="4" s="1"/>
  <c r="AC156" i="4"/>
  <c r="AD156" i="4" s="1"/>
  <c r="AF98" i="4"/>
  <c r="AG98" i="4" s="1"/>
  <c r="AI98" i="4" s="1"/>
  <c r="AF79" i="4"/>
  <c r="AG79" i="4" s="1"/>
  <c r="AI79" i="4" s="1"/>
  <c r="AP156" i="4"/>
  <c r="AP16" i="4"/>
  <c r="AF82" i="4"/>
  <c r="AG82" i="4" s="1"/>
  <c r="AI82" i="4" s="1"/>
  <c r="AN98" i="4"/>
  <c r="AO98" i="4" s="1"/>
  <c r="AK79" i="4"/>
  <c r="AL79" i="4" s="1"/>
  <c r="AO79" i="4" s="1"/>
  <c r="AO18" i="4"/>
  <c r="AC102" i="4"/>
  <c r="AD102" i="4" s="1"/>
  <c r="AP143" i="4"/>
  <c r="AN137" i="4"/>
  <c r="AP102" i="4"/>
  <c r="AC143" i="4"/>
  <c r="AD143" i="4" s="1"/>
  <c r="AN66" i="4"/>
  <c r="AN121" i="4"/>
  <c r="AO121" i="4" s="1"/>
  <c r="AF102" i="4"/>
  <c r="AG102" i="4" s="1"/>
  <c r="AI102" i="4" s="1"/>
  <c r="AK66" i="4"/>
  <c r="AL66" i="4" s="1"/>
  <c r="AF121" i="4"/>
  <c r="AG121" i="4" s="1"/>
  <c r="AI121" i="4" s="1"/>
  <c r="AP118" i="4"/>
  <c r="AP20" i="4"/>
  <c r="AK102" i="4"/>
  <c r="AL102" i="4" s="1"/>
  <c r="AO102" i="4" s="1"/>
  <c r="AC15" i="4"/>
  <c r="AD15" i="4" s="1"/>
  <c r="AC118" i="4"/>
  <c r="AD118" i="4" s="1"/>
  <c r="AC20" i="4"/>
  <c r="AD20" i="4" s="1"/>
  <c r="AP15" i="4"/>
  <c r="AC96" i="4"/>
  <c r="AD96" i="4" s="1"/>
  <c r="AP116" i="4"/>
  <c r="AQ9" i="4"/>
  <c r="AP12" i="4"/>
  <c r="AN124" i="4"/>
  <c r="AQ116" i="4"/>
  <c r="AF96" i="4"/>
  <c r="AG96" i="4" s="1"/>
  <c r="AI96" i="4" s="1"/>
  <c r="AC121" i="4"/>
  <c r="AD121" i="4" s="1"/>
  <c r="AK96" i="4"/>
  <c r="AL96" i="4" s="1"/>
  <c r="AO96" i="4" s="1"/>
  <c r="AQ121" i="4"/>
  <c r="AO107" i="4"/>
  <c r="AU107" i="4" s="1"/>
  <c r="AW107" i="4" s="1"/>
  <c r="AF125" i="4"/>
  <c r="AG125" i="4" s="1"/>
  <c r="AI125" i="4" s="1"/>
  <c r="AF89" i="4"/>
  <c r="AG89" i="4" s="1"/>
  <c r="AI89" i="4" s="1"/>
  <c r="AK125" i="4"/>
  <c r="AL125" i="4" s="1"/>
  <c r="AO125" i="4" s="1"/>
  <c r="AO150" i="4"/>
  <c r="AU150" i="4" s="1"/>
  <c r="AW150" i="4" s="1"/>
  <c r="AO34" i="4"/>
  <c r="AO157" i="4"/>
  <c r="AU157" i="4" s="1"/>
  <c r="AW157" i="4" s="1"/>
  <c r="AO22" i="4"/>
  <c r="AO48" i="4"/>
  <c r="AO132" i="4"/>
  <c r="AU132" i="4" s="1"/>
  <c r="AW132" i="4" s="1"/>
  <c r="AO7" i="4"/>
  <c r="AO19" i="4"/>
  <c r="AO11" i="4"/>
  <c r="AO103" i="4"/>
  <c r="AU103" i="4" s="1"/>
  <c r="AW103" i="4" s="1"/>
  <c r="AO87" i="4"/>
  <c r="AU87" i="4" s="1"/>
  <c r="AW87" i="4" s="1"/>
  <c r="AO91" i="4"/>
  <c r="AU91" i="4" s="1"/>
  <c r="AW91" i="4" s="1"/>
  <c r="AO138" i="4"/>
  <c r="AU138" i="4" s="1"/>
  <c r="AW138" i="4" s="1"/>
  <c r="AO80" i="4"/>
  <c r="AU80" i="4" s="1"/>
  <c r="AW80" i="4" s="1"/>
  <c r="BF418" i="5"/>
  <c r="BG418" i="5" s="1"/>
  <c r="BL418" i="5" s="1"/>
  <c r="AO16" i="4"/>
  <c r="AO9" i="4"/>
  <c r="AO53" i="4"/>
  <c r="AO21" i="4"/>
  <c r="AE418" i="5"/>
  <c r="AO72" i="4"/>
  <c r="AU72" i="4" s="1"/>
  <c r="AW72" i="4" s="1"/>
  <c r="AO38" i="4"/>
  <c r="AU38" i="4" s="1"/>
  <c r="AW38" i="4" s="1"/>
  <c r="AO52" i="4"/>
  <c r="AO147" i="4"/>
  <c r="AU147" i="4" s="1"/>
  <c r="AW147" i="4" s="1"/>
  <c r="AO88" i="4"/>
  <c r="AU88" i="4" s="1"/>
  <c r="AW88" i="4" s="1"/>
  <c r="AO15" i="4"/>
  <c r="AO8" i="4"/>
  <c r="AO24" i="4"/>
  <c r="AO68" i="4"/>
  <c r="AU68" i="4" s="1"/>
  <c r="AW68" i="4" s="1"/>
  <c r="AO31" i="4"/>
  <c r="AO13" i="4"/>
  <c r="AO10" i="4"/>
  <c r="AO27" i="4"/>
  <c r="AO20" i="4"/>
  <c r="AO84" i="4"/>
  <c r="AU84" i="4" s="1"/>
  <c r="AW84" i="4" s="1"/>
  <c r="AO37" i="4"/>
  <c r="AO12" i="4"/>
  <c r="AO25" i="4"/>
  <c r="AD559" i="5"/>
  <c r="BF559" i="5"/>
  <c r="AE559" i="5"/>
  <c r="AD27" i="5"/>
  <c r="BF27" i="5"/>
  <c r="AE27" i="5"/>
  <c r="AD69" i="5"/>
  <c r="BF69" i="5"/>
  <c r="AE69" i="5"/>
  <c r="AE384" i="5"/>
  <c r="AD384" i="5"/>
  <c r="BF384" i="5"/>
  <c r="AE101" i="5"/>
  <c r="AD101" i="5"/>
  <c r="BF101" i="5"/>
  <c r="BF391" i="5"/>
  <c r="AE391" i="5"/>
  <c r="AD391" i="5"/>
  <c r="AE409" i="5"/>
  <c r="AD409" i="5"/>
  <c r="BF409" i="5"/>
  <c r="AD385" i="5"/>
  <c r="AE385" i="5"/>
  <c r="BF385" i="5"/>
  <c r="AE197" i="5"/>
  <c r="AD197" i="5"/>
  <c r="BF197" i="5"/>
  <c r="AE183" i="5"/>
  <c r="AD183" i="5"/>
  <c r="BF183" i="5"/>
  <c r="AE478" i="5"/>
  <c r="BF478" i="5"/>
  <c r="AD478" i="5"/>
  <c r="AE368" i="5"/>
  <c r="AD368" i="5"/>
  <c r="BF368" i="5"/>
  <c r="AE436" i="5"/>
  <c r="AD436" i="5"/>
  <c r="BF436" i="5"/>
  <c r="AD26" i="5"/>
  <c r="AE26" i="5"/>
  <c r="BF26" i="5"/>
  <c r="BF52" i="5"/>
  <c r="AE52" i="5"/>
  <c r="AD52" i="5"/>
  <c r="AD361" i="5"/>
  <c r="BF361" i="5"/>
  <c r="AE361" i="5"/>
  <c r="AD103" i="5"/>
  <c r="AE103" i="5"/>
  <c r="BF103" i="5"/>
  <c r="AD140" i="5"/>
  <c r="BF140" i="5"/>
  <c r="AE140" i="5"/>
  <c r="AE206" i="5"/>
  <c r="BF206" i="5"/>
  <c r="AD206" i="5"/>
  <c r="AE261" i="5"/>
  <c r="AD261" i="5"/>
  <c r="BF261" i="5"/>
  <c r="BF142" i="5"/>
  <c r="AD142" i="5"/>
  <c r="AE142" i="5"/>
  <c r="BF50" i="5"/>
  <c r="AE50" i="5"/>
  <c r="AD50" i="5"/>
  <c r="AE459" i="5"/>
  <c r="BF459" i="5"/>
  <c r="AD459" i="5"/>
  <c r="BF96" i="5"/>
  <c r="AD96" i="5"/>
  <c r="AE96" i="5"/>
  <c r="BK260" i="5"/>
  <c r="BJ260" i="5"/>
  <c r="BK252" i="5"/>
  <c r="BJ252" i="5"/>
  <c r="AD297" i="5"/>
  <c r="AE297" i="5"/>
  <c r="BF297" i="5"/>
  <c r="AD97" i="5"/>
  <c r="AE97" i="5"/>
  <c r="BF97" i="5"/>
  <c r="AD358" i="5"/>
  <c r="AE358" i="5"/>
  <c r="BF358" i="5"/>
  <c r="AD260" i="5"/>
  <c r="AE260" i="5"/>
  <c r="BF260" i="5"/>
  <c r="AD38" i="5"/>
  <c r="BF38" i="5"/>
  <c r="AE38" i="5"/>
  <c r="BF141" i="5"/>
  <c r="AE141" i="5"/>
  <c r="AD141" i="5"/>
  <c r="AD45" i="5"/>
  <c r="BF45" i="5"/>
  <c r="AE45" i="5"/>
  <c r="AD265" i="5"/>
  <c r="AE265" i="5"/>
  <c r="BF265" i="5"/>
  <c r="AD531" i="5"/>
  <c r="BF531" i="5"/>
  <c r="AE531" i="5"/>
  <c r="BF513" i="5"/>
  <c r="AD513" i="5"/>
  <c r="AE513" i="5"/>
  <c r="AE134" i="5"/>
  <c r="BF134" i="5"/>
  <c r="AD134" i="5"/>
  <c r="BF104" i="5"/>
  <c r="AD104" i="5"/>
  <c r="AE104" i="5"/>
  <c r="AE479" i="5"/>
  <c r="AD479" i="5"/>
  <c r="BF479" i="5"/>
  <c r="BF122" i="5"/>
  <c r="AD122" i="5"/>
  <c r="AE122" i="5"/>
  <c r="BF383" i="5"/>
  <c r="AE383" i="5"/>
  <c r="AD383" i="5"/>
  <c r="AD519" i="5"/>
  <c r="AE519" i="5"/>
  <c r="BF519" i="5"/>
  <c r="AD470" i="5"/>
  <c r="AE470" i="5"/>
  <c r="BF470" i="5"/>
  <c r="BF139" i="5"/>
  <c r="AE139" i="5"/>
  <c r="AD139" i="5"/>
  <c r="AD208" i="5"/>
  <c r="BF208" i="5"/>
  <c r="AE208" i="5"/>
  <c r="AE308" i="5"/>
  <c r="AD308" i="5"/>
  <c r="BF308" i="5"/>
  <c r="BF510" i="5"/>
  <c r="AD510" i="5"/>
  <c r="AE510" i="5"/>
  <c r="AD552" i="5"/>
  <c r="AE552" i="5"/>
  <c r="BF552" i="5"/>
  <c r="BF182" i="5"/>
  <c r="AD182" i="5"/>
  <c r="AE182" i="5"/>
  <c r="AE20" i="5"/>
  <c r="BF20" i="5"/>
  <c r="AD20" i="5"/>
  <c r="AE516" i="5"/>
  <c r="AD516" i="5"/>
  <c r="BF516" i="5"/>
  <c r="AD205" i="5"/>
  <c r="BF205" i="5"/>
  <c r="AE205" i="5"/>
  <c r="AE106" i="5"/>
  <c r="BF106" i="5"/>
  <c r="AD106" i="5"/>
  <c r="AE318" i="5"/>
  <c r="BF318" i="5"/>
  <c r="AD318" i="5"/>
  <c r="AE334" i="5"/>
  <c r="BF334" i="5"/>
  <c r="AD334" i="5"/>
  <c r="AE157" i="5"/>
  <c r="BF157" i="5"/>
  <c r="AD157" i="5"/>
  <c r="AE503" i="5"/>
  <c r="BF503" i="5"/>
  <c r="AD503" i="5"/>
  <c r="AD232" i="5"/>
  <c r="BF232" i="5"/>
  <c r="AE232" i="5"/>
  <c r="BF345" i="5"/>
  <c r="AE345" i="5"/>
  <c r="AD345" i="5"/>
  <c r="AD541" i="5"/>
  <c r="BF541" i="5"/>
  <c r="AE541" i="5"/>
  <c r="AE21" i="5"/>
  <c r="AD21" i="5"/>
  <c r="BF21" i="5"/>
  <c r="AE210" i="5"/>
  <c r="BF210" i="5"/>
  <c r="AD210" i="5"/>
  <c r="AD437" i="5"/>
  <c r="BF437" i="5"/>
  <c r="AE437" i="5"/>
  <c r="BF372" i="5"/>
  <c r="AD372" i="5"/>
  <c r="AE372" i="5"/>
  <c r="AE549" i="5"/>
  <c r="BF549" i="5"/>
  <c r="AD549" i="5"/>
  <c r="AE150" i="5"/>
  <c r="AD150" i="5"/>
  <c r="BF150" i="5"/>
  <c r="AD279" i="5"/>
  <c r="BF279" i="5"/>
  <c r="AE279" i="5"/>
  <c r="AE207" i="5"/>
  <c r="AD207" i="5"/>
  <c r="BF207" i="5"/>
  <c r="BF128" i="5"/>
  <c r="AE128" i="5"/>
  <c r="AD128" i="5"/>
  <c r="AE544" i="5"/>
  <c r="AD544" i="5"/>
  <c r="BF544" i="5"/>
  <c r="AD287" i="5"/>
  <c r="BF287" i="5"/>
  <c r="AE287" i="5"/>
  <c r="AD432" i="5"/>
  <c r="AE432" i="5"/>
  <c r="BF432" i="5"/>
  <c r="AD253" i="5"/>
  <c r="BF253" i="5"/>
  <c r="AE253" i="5"/>
  <c r="AE295" i="5"/>
  <c r="AD295" i="5"/>
  <c r="BF295" i="5"/>
  <c r="AD452" i="5"/>
  <c r="BF452" i="5"/>
  <c r="AE452" i="5"/>
  <c r="AE512" i="5"/>
  <c r="BF512" i="5"/>
  <c r="AD512" i="5"/>
  <c r="AD53" i="5"/>
  <c r="AE53" i="5"/>
  <c r="BF53" i="5"/>
  <c r="AE388" i="5"/>
  <c r="AD388" i="5"/>
  <c r="BF388" i="5"/>
  <c r="AE288" i="5"/>
  <c r="AD288" i="5"/>
  <c r="BF288" i="5"/>
  <c r="AE351" i="5"/>
  <c r="AD351" i="5"/>
  <c r="BF351" i="5"/>
  <c r="AE547" i="5"/>
  <c r="AD547" i="5"/>
  <c r="BF547" i="5"/>
  <c r="AE493" i="5"/>
  <c r="AD493" i="5"/>
  <c r="BF493" i="5"/>
  <c r="BF428" i="5"/>
  <c r="AD428" i="5"/>
  <c r="AE428" i="5"/>
  <c r="BF48" i="5"/>
  <c r="AD48" i="5"/>
  <c r="AE48" i="5"/>
  <c r="AE117" i="5"/>
  <c r="AD117" i="5"/>
  <c r="BF117" i="5"/>
  <c r="AE173" i="5"/>
  <c r="BF173" i="5"/>
  <c r="AD173" i="5"/>
  <c r="AD228" i="5"/>
  <c r="AE228" i="5"/>
  <c r="BF228" i="5"/>
  <c r="AE94" i="5"/>
  <c r="AD94" i="5"/>
  <c r="BF94" i="5"/>
  <c r="AD456" i="5"/>
  <c r="BF456" i="5"/>
  <c r="AE456" i="5"/>
  <c r="AD413" i="5"/>
  <c r="AE413" i="5"/>
  <c r="BF413" i="5"/>
  <c r="AD92" i="5"/>
  <c r="AE92" i="5"/>
  <c r="BF92" i="5"/>
  <c r="BK411" i="5"/>
  <c r="BJ411" i="5"/>
  <c r="AD44" i="5"/>
  <c r="BF44" i="5"/>
  <c r="AE44" i="5"/>
  <c r="AD431" i="5"/>
  <c r="AE431" i="5"/>
  <c r="BF431" i="5"/>
  <c r="AE144" i="5"/>
  <c r="AD144" i="5"/>
  <c r="BF144" i="5"/>
  <c r="BF88" i="5"/>
  <c r="AE88" i="5"/>
  <c r="AD88" i="5"/>
  <c r="AD8" i="5"/>
  <c r="AE8" i="5"/>
  <c r="BF8" i="5"/>
  <c r="BF254" i="5"/>
  <c r="AE254" i="5"/>
  <c r="AD254" i="5"/>
  <c r="AD370" i="5"/>
  <c r="AE370" i="5"/>
  <c r="BF370" i="5"/>
  <c r="AD245" i="5"/>
  <c r="BF245" i="5"/>
  <c r="AE245" i="5"/>
  <c r="AE243" i="5"/>
  <c r="BF243" i="5"/>
  <c r="AD243" i="5"/>
  <c r="BF429" i="5"/>
  <c r="AD429" i="5"/>
  <c r="AE429" i="5"/>
  <c r="AE482" i="5"/>
  <c r="BF482" i="5"/>
  <c r="AD482" i="5"/>
  <c r="AE185" i="5"/>
  <c r="BF185" i="5"/>
  <c r="AD185" i="5"/>
  <c r="AD112" i="5"/>
  <c r="AE112" i="5"/>
  <c r="BF112" i="5"/>
  <c r="AE538" i="5"/>
  <c r="BF538" i="5"/>
  <c r="AD538" i="5"/>
  <c r="AD231" i="5"/>
  <c r="BF231" i="5"/>
  <c r="AE231" i="5"/>
  <c r="AE477" i="5"/>
  <c r="AD477" i="5"/>
  <c r="BF477" i="5"/>
  <c r="AE526" i="5"/>
  <c r="AD526" i="5"/>
  <c r="BF526" i="5"/>
  <c r="AE290" i="5"/>
  <c r="AD290" i="5"/>
  <c r="BF290" i="5"/>
  <c r="AD168" i="5"/>
  <c r="BF168" i="5"/>
  <c r="AE168" i="5"/>
  <c r="AE252" i="5"/>
  <c r="BF252" i="5"/>
  <c r="AD252" i="5"/>
  <c r="AD426" i="5"/>
  <c r="BF426" i="5"/>
  <c r="AE426" i="5"/>
  <c r="AE491" i="5"/>
  <c r="AD491" i="5"/>
  <c r="BF491" i="5"/>
  <c r="BF342" i="5"/>
  <c r="AE342" i="5"/>
  <c r="AD342" i="5"/>
  <c r="AE321" i="5"/>
  <c r="AD321" i="5"/>
  <c r="BF321" i="5"/>
  <c r="BF481" i="5"/>
  <c r="AE481" i="5"/>
  <c r="AD481" i="5"/>
  <c r="AD54" i="5"/>
  <c r="BF54" i="5"/>
  <c r="AE54" i="5"/>
  <c r="AE219" i="5"/>
  <c r="AD219" i="5"/>
  <c r="BF219" i="5"/>
  <c r="AE317" i="5"/>
  <c r="BF317" i="5"/>
  <c r="AD317" i="5"/>
  <c r="AE163" i="5"/>
  <c r="BF163" i="5"/>
  <c r="AD163" i="5"/>
  <c r="AE200" i="5"/>
  <c r="AD200" i="5"/>
  <c r="BF200" i="5"/>
  <c r="AD250" i="5"/>
  <c r="BF250" i="5"/>
  <c r="AE250" i="5"/>
  <c r="AE392" i="5"/>
  <c r="AD392" i="5"/>
  <c r="BF392" i="5"/>
  <c r="BF188" i="5"/>
  <c r="AD188" i="5"/>
  <c r="AE188" i="5"/>
  <c r="AE60" i="5"/>
  <c r="AD60" i="5"/>
  <c r="BF60" i="5"/>
  <c r="AE35" i="5"/>
  <c r="AD35" i="5"/>
  <c r="BF35" i="5"/>
  <c r="BK485" i="5"/>
  <c r="BJ485" i="5"/>
  <c r="AO71" i="4"/>
  <c r="AU71" i="4" s="1"/>
  <c r="AW71" i="4" s="1"/>
  <c r="AE218" i="5"/>
  <c r="BF218" i="5"/>
  <c r="AD218" i="5"/>
  <c r="AD235" i="5"/>
  <c r="BF235" i="5"/>
  <c r="AE235" i="5"/>
  <c r="BK209" i="5"/>
  <c r="BJ209" i="5"/>
  <c r="AO23" i="4"/>
  <c r="BK497" i="5"/>
  <c r="BJ497" i="5"/>
  <c r="AE167" i="5"/>
  <c r="AD167" i="5"/>
  <c r="BF167" i="5"/>
  <c r="AO99" i="4"/>
  <c r="AU99" i="4" s="1"/>
  <c r="AW99" i="4" s="1"/>
  <c r="BJ84" i="5"/>
  <c r="BK84" i="5"/>
  <c r="AO146" i="4"/>
  <c r="AU146" i="4" s="1"/>
  <c r="AW146" i="4" s="1"/>
  <c r="BJ127" i="5"/>
  <c r="BK127" i="5"/>
  <c r="AO30" i="4"/>
  <c r="AB11" i="5"/>
  <c r="AA11" i="5"/>
  <c r="U11" i="5"/>
  <c r="V11" i="5"/>
  <c r="AH11" i="5"/>
  <c r="AI11" i="5"/>
  <c r="BK284" i="5"/>
  <c r="BJ284" i="5"/>
  <c r="BK419" i="5"/>
  <c r="BJ419" i="5"/>
  <c r="BJ148" i="5"/>
  <c r="BK148" i="5"/>
  <c r="AO17" i="4"/>
  <c r="AU17" i="4" s="1"/>
  <c r="AW17" i="4" s="1"/>
  <c r="AD348" i="5"/>
  <c r="BF348" i="5"/>
  <c r="AE348" i="5"/>
  <c r="AE299" i="5"/>
  <c r="BF299" i="5"/>
  <c r="AD299" i="5"/>
  <c r="BF447" i="5"/>
  <c r="AE447" i="5"/>
  <c r="AD447" i="5"/>
  <c r="AE364" i="5"/>
  <c r="AD364" i="5"/>
  <c r="BF364" i="5"/>
  <c r="AE172" i="5"/>
  <c r="BF172" i="5"/>
  <c r="AD172" i="5"/>
  <c r="AO35" i="4"/>
  <c r="AO47" i="4"/>
  <c r="AU47" i="4" s="1"/>
  <c r="AW47" i="4" s="1"/>
  <c r="AE256" i="5"/>
  <c r="BF256" i="5"/>
  <c r="AD256" i="5"/>
  <c r="BF77" i="5"/>
  <c r="AE77" i="5"/>
  <c r="AD77" i="5"/>
  <c r="AD514" i="5"/>
  <c r="AE514" i="5"/>
  <c r="BF514" i="5"/>
  <c r="AE242" i="5"/>
  <c r="BF242" i="5"/>
  <c r="AD242" i="5"/>
  <c r="AD504" i="5"/>
  <c r="BF504" i="5"/>
  <c r="AE504" i="5"/>
  <c r="BF115" i="5"/>
  <c r="AE115" i="5"/>
  <c r="AD115" i="5"/>
  <c r="AD521" i="5"/>
  <c r="BF521" i="5"/>
  <c r="AE521" i="5"/>
  <c r="AD42" i="5"/>
  <c r="BF42" i="5"/>
  <c r="AE42" i="5"/>
  <c r="AD300" i="5"/>
  <c r="AE300" i="5"/>
  <c r="BF300" i="5"/>
  <c r="AE109" i="5"/>
  <c r="AD109" i="5"/>
  <c r="BF109" i="5"/>
  <c r="AD56" i="5"/>
  <c r="AE56" i="5"/>
  <c r="BF56" i="5"/>
  <c r="AE528" i="5"/>
  <c r="BF528" i="5"/>
  <c r="AD528" i="5"/>
  <c r="AD116" i="5"/>
  <c r="AE116" i="5"/>
  <c r="BF116" i="5"/>
  <c r="AE40" i="5"/>
  <c r="AD40" i="5"/>
  <c r="BF40" i="5"/>
  <c r="AE360" i="5"/>
  <c r="BF360" i="5"/>
  <c r="AD360" i="5"/>
  <c r="AD107" i="5"/>
  <c r="AE107" i="5"/>
  <c r="BF107" i="5"/>
  <c r="BF298" i="5"/>
  <c r="AD298" i="5"/>
  <c r="AE298" i="5"/>
  <c r="AD498" i="5"/>
  <c r="AE498" i="5"/>
  <c r="BF498" i="5"/>
  <c r="AE184" i="5"/>
  <c r="AD184" i="5"/>
  <c r="BF184" i="5"/>
  <c r="AE387" i="5"/>
  <c r="BF387" i="5"/>
  <c r="AD387" i="5"/>
  <c r="AD464" i="5"/>
  <c r="AE464" i="5"/>
  <c r="BF464" i="5"/>
  <c r="AE202" i="5"/>
  <c r="AD202" i="5"/>
  <c r="BF202" i="5"/>
  <c r="AE158" i="5"/>
  <c r="AD158" i="5"/>
  <c r="BF158" i="5"/>
  <c r="AE467" i="5"/>
  <c r="BF467" i="5"/>
  <c r="AD467" i="5"/>
  <c r="AE102" i="5"/>
  <c r="AD102" i="5"/>
  <c r="BF102" i="5"/>
  <c r="BF502" i="5"/>
  <c r="AD502" i="5"/>
  <c r="AE502" i="5"/>
  <c r="AD400" i="5"/>
  <c r="BF400" i="5"/>
  <c r="AE400" i="5"/>
  <c r="AE147" i="5"/>
  <c r="AD147" i="5"/>
  <c r="BF147" i="5"/>
  <c r="AE312" i="5"/>
  <c r="AD312" i="5"/>
  <c r="BF312" i="5"/>
  <c r="AD439" i="5"/>
  <c r="BF439" i="5"/>
  <c r="AE439" i="5"/>
  <c r="BF135" i="5"/>
  <c r="AE135" i="5"/>
  <c r="AD135" i="5"/>
  <c r="AE330" i="5"/>
  <c r="AD330" i="5"/>
  <c r="BF330" i="5"/>
  <c r="AE534" i="5"/>
  <c r="BF534" i="5"/>
  <c r="AD534" i="5"/>
  <c r="AE344" i="5"/>
  <c r="BF344" i="5"/>
  <c r="AD344" i="5"/>
  <c r="AD524" i="5"/>
  <c r="AE524" i="5"/>
  <c r="BF524" i="5"/>
  <c r="AD410" i="5"/>
  <c r="AE410" i="5"/>
  <c r="BF410" i="5"/>
  <c r="AD81" i="5"/>
  <c r="BF81" i="5"/>
  <c r="AE81" i="5"/>
  <c r="BF430" i="5"/>
  <c r="AD430" i="5"/>
  <c r="AE430" i="5"/>
  <c r="BF448" i="5"/>
  <c r="AE448" i="5"/>
  <c r="AD448" i="5"/>
  <c r="AD286" i="5"/>
  <c r="BF286" i="5"/>
  <c r="AE286" i="5"/>
  <c r="AD485" i="5"/>
  <c r="BF485" i="5"/>
  <c r="AE485" i="5"/>
  <c r="AD160" i="5"/>
  <c r="BF160" i="5"/>
  <c r="AE160" i="5"/>
  <c r="BF406" i="5"/>
  <c r="AD406" i="5"/>
  <c r="AE406" i="5"/>
  <c r="AE332" i="5"/>
  <c r="BF332" i="5"/>
  <c r="AD332" i="5"/>
  <c r="AD515" i="5"/>
  <c r="BF515" i="5"/>
  <c r="AE515" i="5"/>
  <c r="BF217" i="5"/>
  <c r="AD217" i="5"/>
  <c r="AE217" i="5"/>
  <c r="AD72" i="5"/>
  <c r="AE72" i="5"/>
  <c r="BF72" i="5"/>
  <c r="AE543" i="5"/>
  <c r="BF543" i="5"/>
  <c r="AD543" i="5"/>
  <c r="AE194" i="5"/>
  <c r="AD194" i="5"/>
  <c r="BF194" i="5"/>
  <c r="BF268" i="5"/>
  <c r="AE268" i="5"/>
  <c r="AD268" i="5"/>
  <c r="BF55" i="5"/>
  <c r="AD55" i="5"/>
  <c r="AE55" i="5"/>
  <c r="AE325" i="5"/>
  <c r="AD325" i="5"/>
  <c r="BF325" i="5"/>
  <c r="BF327" i="5"/>
  <c r="AD327" i="5"/>
  <c r="AE327" i="5"/>
  <c r="AE73" i="5"/>
  <c r="AD73" i="5"/>
  <c r="BF73" i="5"/>
  <c r="BF296" i="5"/>
  <c r="AE296" i="5"/>
  <c r="AD296" i="5"/>
  <c r="AE66" i="5"/>
  <c r="AD66" i="5"/>
  <c r="BF66" i="5"/>
  <c r="BF366" i="5"/>
  <c r="AD366" i="5"/>
  <c r="AE366" i="5"/>
  <c r="BF186" i="5"/>
  <c r="AE186" i="5"/>
  <c r="AD186" i="5"/>
  <c r="AD63" i="5"/>
  <c r="AE63" i="5"/>
  <c r="BF63" i="5"/>
  <c r="AD396" i="5"/>
  <c r="BF396" i="5"/>
  <c r="AE396" i="5"/>
  <c r="BF284" i="5"/>
  <c r="AD284" i="5"/>
  <c r="AE284" i="5"/>
  <c r="AE293" i="5"/>
  <c r="AD293" i="5"/>
  <c r="BF293" i="5"/>
  <c r="AD12" i="5"/>
  <c r="BF12" i="5"/>
  <c r="AE12" i="5"/>
  <c r="AE259" i="5"/>
  <c r="BF259" i="5"/>
  <c r="AD259" i="5"/>
  <c r="AD10" i="5"/>
  <c r="AE10" i="5"/>
  <c r="BF10" i="5"/>
  <c r="AD32" i="5"/>
  <c r="AE32" i="5"/>
  <c r="BF32" i="5"/>
  <c r="AE556" i="5"/>
  <c r="AD556" i="5"/>
  <c r="BF556" i="5"/>
  <c r="AO120" i="4"/>
  <c r="AU120" i="4" s="1"/>
  <c r="AW120" i="4" s="1"/>
  <c r="AE29" i="5"/>
  <c r="AD29" i="5"/>
  <c r="BF29" i="5"/>
  <c r="AE70" i="5"/>
  <c r="BF70" i="5"/>
  <c r="AD70" i="5"/>
  <c r="AD522" i="5"/>
  <c r="AE522" i="5"/>
  <c r="BF522" i="5"/>
  <c r="AE309" i="5"/>
  <c r="AD309" i="5"/>
  <c r="BF309" i="5"/>
  <c r="BF316" i="5"/>
  <c r="AE316" i="5"/>
  <c r="AD316" i="5"/>
  <c r="BF551" i="5"/>
  <c r="AD551" i="5"/>
  <c r="AE551" i="5"/>
  <c r="AE331" i="5"/>
  <c r="AD331" i="5"/>
  <c r="BF331" i="5"/>
  <c r="BF41" i="5"/>
  <c r="AE41" i="5"/>
  <c r="AD41" i="5"/>
  <c r="AD381" i="5"/>
  <c r="AE381" i="5"/>
  <c r="BF381" i="5"/>
  <c r="AE220" i="5"/>
  <c r="AD220" i="5"/>
  <c r="BF220" i="5"/>
  <c r="BF487" i="5"/>
  <c r="AE487" i="5"/>
  <c r="AD487" i="5"/>
  <c r="AD289" i="5"/>
  <c r="AE289" i="5"/>
  <c r="BF289" i="5"/>
  <c r="AE271" i="5"/>
  <c r="AD271" i="5"/>
  <c r="BF271" i="5"/>
  <c r="AE425" i="5"/>
  <c r="AD425" i="5"/>
  <c r="BF425" i="5"/>
  <c r="AE65" i="5"/>
  <c r="AD65" i="5"/>
  <c r="BF65" i="5"/>
  <c r="AD68" i="5"/>
  <c r="BF68" i="5"/>
  <c r="AE68" i="5"/>
  <c r="BF343" i="5"/>
  <c r="AE343" i="5"/>
  <c r="AD343" i="5"/>
  <c r="BF156" i="5"/>
  <c r="AD156" i="5"/>
  <c r="AE156" i="5"/>
  <c r="BF100" i="5"/>
  <c r="AE100" i="5"/>
  <c r="AD100" i="5"/>
  <c r="AE130" i="5"/>
  <c r="BF130" i="5"/>
  <c r="AD130" i="5"/>
  <c r="AD497" i="5"/>
  <c r="AE497" i="5"/>
  <c r="BF497" i="5"/>
  <c r="BF480" i="5"/>
  <c r="AD480" i="5"/>
  <c r="AE480" i="5"/>
  <c r="AD291" i="5"/>
  <c r="AE291" i="5"/>
  <c r="BF291" i="5"/>
  <c r="AD490" i="5"/>
  <c r="AE490" i="5"/>
  <c r="BF490" i="5"/>
  <c r="AD143" i="5"/>
  <c r="AE143" i="5"/>
  <c r="BF143" i="5"/>
  <c r="AD420" i="5"/>
  <c r="AE420" i="5"/>
  <c r="BF420" i="5"/>
  <c r="AE251" i="5"/>
  <c r="AD251" i="5"/>
  <c r="BF251" i="5"/>
  <c r="AE152" i="5"/>
  <c r="BF152" i="5"/>
  <c r="AD152" i="5"/>
  <c r="AD336" i="5"/>
  <c r="AE336" i="5"/>
  <c r="BF336" i="5"/>
  <c r="AD557" i="5"/>
  <c r="AE557" i="5"/>
  <c r="BF557" i="5"/>
  <c r="AE283" i="5"/>
  <c r="AD283" i="5"/>
  <c r="BF283" i="5"/>
  <c r="AE280" i="5"/>
  <c r="AD280" i="5"/>
  <c r="BF280" i="5"/>
  <c r="AE454" i="5"/>
  <c r="AD454" i="5"/>
  <c r="BF454" i="5"/>
  <c r="BJ446" i="5"/>
  <c r="BK446" i="5"/>
  <c r="AE28" i="5"/>
  <c r="BF28" i="5"/>
  <c r="AD28" i="5"/>
  <c r="AD542" i="5"/>
  <c r="AE542" i="5"/>
  <c r="BF542" i="5"/>
  <c r="BF415" i="5"/>
  <c r="AE415" i="5"/>
  <c r="AD415" i="5"/>
  <c r="AE421" i="5"/>
  <c r="BF421" i="5"/>
  <c r="AD421" i="5"/>
  <c r="AD473" i="5"/>
  <c r="AE473" i="5"/>
  <c r="BF473" i="5"/>
  <c r="AE277" i="5"/>
  <c r="AD277" i="5"/>
  <c r="BF277" i="5"/>
  <c r="AE324" i="5"/>
  <c r="BF324" i="5"/>
  <c r="AD324" i="5"/>
  <c r="AD402" i="5"/>
  <c r="AE402" i="5"/>
  <c r="BF402" i="5"/>
  <c r="AE162" i="5"/>
  <c r="AD162" i="5"/>
  <c r="BF162" i="5"/>
  <c r="BF124" i="5"/>
  <c r="AD124" i="5"/>
  <c r="AE124" i="5"/>
  <c r="AE171" i="5"/>
  <c r="AD171" i="5"/>
  <c r="BF171" i="5"/>
  <c r="AE457" i="5"/>
  <c r="BF457" i="5"/>
  <c r="AD457" i="5"/>
  <c r="BF435" i="5"/>
  <c r="AD435" i="5"/>
  <c r="AE435" i="5"/>
  <c r="AD535" i="5"/>
  <c r="AE535" i="5"/>
  <c r="BF535" i="5"/>
  <c r="BF449" i="5"/>
  <c r="AD449" i="5"/>
  <c r="AE449" i="5"/>
  <c r="AD121" i="5"/>
  <c r="AE121" i="5"/>
  <c r="BF121" i="5"/>
  <c r="BF307" i="5"/>
  <c r="AD307" i="5"/>
  <c r="AE307" i="5"/>
  <c r="AD266" i="5"/>
  <c r="AE266" i="5"/>
  <c r="BF266" i="5"/>
  <c r="AE476" i="5"/>
  <c r="AD476" i="5"/>
  <c r="BF476" i="5"/>
  <c r="AD267" i="5"/>
  <c r="BF267" i="5"/>
  <c r="AE267" i="5"/>
  <c r="BF285" i="5"/>
  <c r="AE285" i="5"/>
  <c r="AD285" i="5"/>
  <c r="AE263" i="5"/>
  <c r="BF263" i="5"/>
  <c r="AD263" i="5"/>
  <c r="AD255" i="5"/>
  <c r="BF255" i="5"/>
  <c r="AE255" i="5"/>
  <c r="AE23" i="5"/>
  <c r="BF23" i="5"/>
  <c r="AD23" i="5"/>
  <c r="AE138" i="5"/>
  <c r="BF138" i="5"/>
  <c r="AD138" i="5"/>
  <c r="AD365" i="5"/>
  <c r="BF365" i="5"/>
  <c r="AE365" i="5"/>
  <c r="AE340" i="5"/>
  <c r="AD340" i="5"/>
  <c r="BF340" i="5"/>
  <c r="AE216" i="5"/>
  <c r="BF216" i="5"/>
  <c r="AD216" i="5"/>
  <c r="AE179" i="5"/>
  <c r="AD179" i="5"/>
  <c r="BF179" i="5"/>
  <c r="AD398" i="5"/>
  <c r="BF398" i="5"/>
  <c r="AE398" i="5"/>
  <c r="AD354" i="5"/>
  <c r="BF354" i="5"/>
  <c r="AE354" i="5"/>
  <c r="AE529" i="5"/>
  <c r="AD529" i="5"/>
  <c r="BF529" i="5"/>
  <c r="BF239" i="5"/>
  <c r="AE239" i="5"/>
  <c r="AD239" i="5"/>
  <c r="AD367" i="5"/>
  <c r="AE367" i="5"/>
  <c r="BF367" i="5"/>
  <c r="BK524" i="5"/>
  <c r="BJ524" i="5"/>
  <c r="AD494" i="5"/>
  <c r="AE494" i="5"/>
  <c r="BF494" i="5"/>
  <c r="AE248" i="5"/>
  <c r="AD248" i="5"/>
  <c r="BF248" i="5"/>
  <c r="BJ151" i="5"/>
  <c r="BK151" i="5"/>
  <c r="BK73" i="5"/>
  <c r="BJ73" i="5"/>
  <c r="BJ33" i="5"/>
  <c r="BK33" i="5"/>
  <c r="AE315" i="5"/>
  <c r="BF315" i="5"/>
  <c r="AD315" i="5"/>
  <c r="AE249" i="5"/>
  <c r="BF249" i="5"/>
  <c r="AD249" i="5"/>
  <c r="BK416" i="5"/>
  <c r="BJ416" i="5"/>
  <c r="BJ77" i="5"/>
  <c r="BK77" i="5"/>
  <c r="BJ267" i="5"/>
  <c r="BK267" i="5"/>
  <c r="BK9" i="5"/>
  <c r="BJ9" i="5"/>
  <c r="X11" i="5"/>
  <c r="Y11" i="5"/>
  <c r="BB11" i="5"/>
  <c r="BA11" i="5"/>
  <c r="S11" i="5"/>
  <c r="R11" i="5"/>
  <c r="BJ386" i="5"/>
  <c r="BK386" i="5"/>
  <c r="BK186" i="5"/>
  <c r="BJ186" i="5"/>
  <c r="BJ462" i="5"/>
  <c r="BK462" i="5"/>
  <c r="AE37" i="5"/>
  <c r="BF37" i="5"/>
  <c r="AD37" i="5"/>
  <c r="AD180" i="5"/>
  <c r="BF180" i="5"/>
  <c r="AE180" i="5"/>
  <c r="AD64" i="5"/>
  <c r="AE64" i="5"/>
  <c r="BF64" i="5"/>
  <c r="BF91" i="5"/>
  <c r="AD91" i="5"/>
  <c r="AE91" i="5"/>
  <c r="AD518" i="5"/>
  <c r="AE518" i="5"/>
  <c r="BF518" i="5"/>
  <c r="BK444" i="5"/>
  <c r="BJ444" i="5"/>
  <c r="AO139" i="4"/>
  <c r="AU139" i="4" s="1"/>
  <c r="AW139" i="4" s="1"/>
  <c r="AE468" i="5"/>
  <c r="BF468" i="5"/>
  <c r="AD468" i="5"/>
  <c r="AE560" i="5"/>
  <c r="BF560" i="5"/>
  <c r="AD560" i="5"/>
  <c r="BF272" i="5"/>
  <c r="AD272" i="5"/>
  <c r="AE272" i="5"/>
  <c r="AD119" i="5"/>
  <c r="BF119" i="5"/>
  <c r="AE119" i="5"/>
  <c r="AD373" i="5"/>
  <c r="AE373" i="5"/>
  <c r="BF373" i="5"/>
  <c r="AE369" i="5"/>
  <c r="BF369" i="5"/>
  <c r="AD369" i="5"/>
  <c r="AD537" i="5"/>
  <c r="AE537" i="5"/>
  <c r="BF537" i="5"/>
  <c r="BF462" i="5"/>
  <c r="AE462" i="5"/>
  <c r="AD462" i="5"/>
  <c r="AE319" i="5"/>
  <c r="BF319" i="5"/>
  <c r="AD319" i="5"/>
  <c r="AD416" i="5"/>
  <c r="AE416" i="5"/>
  <c r="BF416" i="5"/>
  <c r="AD441" i="5"/>
  <c r="AE441" i="5"/>
  <c r="BF441" i="5"/>
  <c r="BF175" i="5"/>
  <c r="AD175" i="5"/>
  <c r="AE175" i="5"/>
  <c r="AD408" i="5"/>
  <c r="AE408" i="5"/>
  <c r="BF408" i="5"/>
  <c r="AD337" i="5"/>
  <c r="BF337" i="5"/>
  <c r="AE337" i="5"/>
  <c r="AD43" i="5"/>
  <c r="BF43" i="5"/>
  <c r="AE43" i="5"/>
  <c r="BF148" i="5"/>
  <c r="AE148" i="5"/>
  <c r="AD148" i="5"/>
  <c r="AD499" i="5"/>
  <c r="AE499" i="5"/>
  <c r="BF499" i="5"/>
  <c r="AE294" i="5"/>
  <c r="BF294" i="5"/>
  <c r="AD294" i="5"/>
  <c r="AE422" i="5"/>
  <c r="BF422" i="5"/>
  <c r="AD422" i="5"/>
  <c r="AD376" i="5"/>
  <c r="BF376" i="5"/>
  <c r="AE376" i="5"/>
  <c r="AE278" i="5"/>
  <c r="AD278" i="5"/>
  <c r="BF278" i="5"/>
  <c r="AD165" i="5"/>
  <c r="AE165" i="5"/>
  <c r="BF165" i="5"/>
  <c r="AE446" i="5"/>
  <c r="BF446" i="5"/>
  <c r="AD446" i="5"/>
  <c r="AE221" i="5"/>
  <c r="BF221" i="5"/>
  <c r="AD221" i="5"/>
  <c r="AD553" i="5"/>
  <c r="AE553" i="5"/>
  <c r="BF553" i="5"/>
  <c r="AD357" i="5"/>
  <c r="BF357" i="5"/>
  <c r="AE357" i="5"/>
  <c r="AE540" i="5"/>
  <c r="AD540" i="5"/>
  <c r="BF540" i="5"/>
  <c r="BF273" i="5"/>
  <c r="AD273" i="5"/>
  <c r="AE273" i="5"/>
  <c r="AE71" i="5"/>
  <c r="AD71" i="5"/>
  <c r="BF71" i="5"/>
  <c r="AE111" i="5"/>
  <c r="AD111" i="5"/>
  <c r="BF111" i="5"/>
  <c r="BF423" i="5"/>
  <c r="AE423" i="5"/>
  <c r="AD423" i="5"/>
  <c r="AE58" i="5"/>
  <c r="BF58" i="5"/>
  <c r="AD58" i="5"/>
  <c r="AE311" i="5"/>
  <c r="AD311" i="5"/>
  <c r="BF311" i="5"/>
  <c r="AE455" i="5"/>
  <c r="AD455" i="5"/>
  <c r="BF455" i="5"/>
  <c r="AO46" i="4"/>
  <c r="BK529" i="5"/>
  <c r="BJ529" i="5"/>
  <c r="BK154" i="5"/>
  <c r="BJ154" i="5"/>
  <c r="AO100" i="4"/>
  <c r="AU100" i="4" s="1"/>
  <c r="AW100" i="4" s="1"/>
  <c r="AD85" i="5"/>
  <c r="BF85" i="5"/>
  <c r="AE85" i="5"/>
  <c r="AD326" i="5"/>
  <c r="BF326" i="5"/>
  <c r="AE326" i="5"/>
  <c r="AD419" i="5"/>
  <c r="BF419" i="5"/>
  <c r="AE419" i="5"/>
  <c r="AD377" i="5"/>
  <c r="AE377" i="5"/>
  <c r="BF377" i="5"/>
  <c r="BF445" i="5"/>
  <c r="AD445" i="5"/>
  <c r="AE445" i="5"/>
  <c r="AE362" i="5"/>
  <c r="BF362" i="5"/>
  <c r="AD362" i="5"/>
  <c r="AE125" i="5"/>
  <c r="BF125" i="5"/>
  <c r="AD125" i="5"/>
  <c r="AE292" i="5"/>
  <c r="BF292" i="5"/>
  <c r="AD292" i="5"/>
  <c r="BF36" i="5"/>
  <c r="AD36" i="5"/>
  <c r="AE36" i="5"/>
  <c r="BF214" i="5"/>
  <c r="AD214" i="5"/>
  <c r="AE214" i="5"/>
  <c r="AE132" i="5"/>
  <c r="BF132" i="5"/>
  <c r="AD132" i="5"/>
  <c r="AD320" i="5"/>
  <c r="AE320" i="5"/>
  <c r="BF320" i="5"/>
  <c r="AE509" i="5"/>
  <c r="AD509" i="5"/>
  <c r="BF509" i="5"/>
  <c r="AE79" i="5"/>
  <c r="BF79" i="5"/>
  <c r="AD79" i="5"/>
  <c r="AE269" i="5"/>
  <c r="BF269" i="5"/>
  <c r="AD269" i="5"/>
  <c r="AD22" i="5"/>
  <c r="AE22" i="5"/>
  <c r="BF22" i="5"/>
  <c r="AD230" i="5"/>
  <c r="AE230" i="5"/>
  <c r="BF230" i="5"/>
  <c r="AD178" i="5"/>
  <c r="BF178" i="5"/>
  <c r="AE178" i="5"/>
  <c r="BF414" i="5"/>
  <c r="AE414" i="5"/>
  <c r="AD414" i="5"/>
  <c r="AE397" i="5"/>
  <c r="AD397" i="5"/>
  <c r="BF397" i="5"/>
  <c r="BF201" i="5"/>
  <c r="AD201" i="5"/>
  <c r="AE201" i="5"/>
  <c r="BF118" i="5"/>
  <c r="AD118" i="5"/>
  <c r="AE118" i="5"/>
  <c r="AD190" i="5"/>
  <c r="BF190" i="5"/>
  <c r="AE190" i="5"/>
  <c r="AD508" i="5"/>
  <c r="BF508" i="5"/>
  <c r="AE508" i="5"/>
  <c r="BF247" i="5"/>
  <c r="AD247" i="5"/>
  <c r="AE247" i="5"/>
  <c r="AD501" i="5"/>
  <c r="BF501" i="5"/>
  <c r="AE501" i="5"/>
  <c r="BF176" i="5"/>
  <c r="AD176" i="5"/>
  <c r="AE176" i="5"/>
  <c r="AD461" i="5"/>
  <c r="AE461" i="5"/>
  <c r="BF461" i="5"/>
  <c r="AE126" i="5"/>
  <c r="BF126" i="5"/>
  <c r="AD126" i="5"/>
  <c r="AD145" i="5"/>
  <c r="AE145" i="5"/>
  <c r="BF145" i="5"/>
  <c r="BF270" i="5"/>
  <c r="AD270" i="5"/>
  <c r="AE270" i="5"/>
  <c r="AE238" i="5"/>
  <c r="AD238" i="5"/>
  <c r="BF238" i="5"/>
  <c r="BK176" i="5"/>
  <c r="BJ176" i="5"/>
  <c r="BF282" i="5"/>
  <c r="AE282" i="5"/>
  <c r="AD282" i="5"/>
  <c r="AE258" i="5"/>
  <c r="AD258" i="5"/>
  <c r="BF258" i="5"/>
  <c r="BF558" i="5"/>
  <c r="AE558" i="5"/>
  <c r="AD558" i="5"/>
  <c r="AD187" i="5"/>
  <c r="AE187" i="5"/>
  <c r="BF187" i="5"/>
  <c r="AD234" i="5"/>
  <c r="AE234" i="5"/>
  <c r="BF234" i="5"/>
  <c r="AD352" i="5"/>
  <c r="BF352" i="5"/>
  <c r="AE352" i="5"/>
  <c r="AD393" i="5"/>
  <c r="AE393" i="5"/>
  <c r="BF393" i="5"/>
  <c r="AE424" i="5"/>
  <c r="AD424" i="5"/>
  <c r="BF424" i="5"/>
  <c r="AD322" i="5"/>
  <c r="BF322" i="5"/>
  <c r="AE322" i="5"/>
  <c r="BF453" i="5"/>
  <c r="AE453" i="5"/>
  <c r="AD453" i="5"/>
  <c r="BF488" i="5"/>
  <c r="AE488" i="5"/>
  <c r="AD488" i="5"/>
  <c r="AE120" i="5"/>
  <c r="BF120" i="5"/>
  <c r="AD120" i="5"/>
  <c r="AE450" i="5"/>
  <c r="AD450" i="5"/>
  <c r="BF450" i="5"/>
  <c r="AD47" i="5"/>
  <c r="AE47" i="5"/>
  <c r="BF47" i="5"/>
  <c r="BF539" i="5"/>
  <c r="AD539" i="5"/>
  <c r="AE539" i="5"/>
  <c r="AE314" i="5"/>
  <c r="AD314" i="5"/>
  <c r="BF314" i="5"/>
  <c r="AE303" i="5"/>
  <c r="BF303" i="5"/>
  <c r="AD303" i="5"/>
  <c r="BF264" i="5"/>
  <c r="AD264" i="5"/>
  <c r="AE264" i="5"/>
  <c r="AE505" i="5"/>
  <c r="AD505" i="5"/>
  <c r="BF505" i="5"/>
  <c r="AE427" i="5"/>
  <c r="BF427" i="5"/>
  <c r="AD427" i="5"/>
  <c r="AE105" i="5"/>
  <c r="BF105" i="5"/>
  <c r="AD105" i="5"/>
  <c r="AE374" i="5"/>
  <c r="AD374" i="5"/>
  <c r="BF374" i="5"/>
  <c r="BF177" i="5"/>
  <c r="AE177" i="5"/>
  <c r="AD177" i="5"/>
  <c r="AE57" i="5"/>
  <c r="AD57" i="5"/>
  <c r="BF57" i="5"/>
  <c r="AD89" i="5"/>
  <c r="AE89" i="5"/>
  <c r="BF89" i="5"/>
  <c r="AD407" i="5"/>
  <c r="BF407" i="5"/>
  <c r="AE407" i="5"/>
  <c r="AD395" i="5"/>
  <c r="AE395" i="5"/>
  <c r="BF395" i="5"/>
  <c r="AE198" i="5"/>
  <c r="BF198" i="5"/>
  <c r="AD198" i="5"/>
  <c r="BF460" i="5"/>
  <c r="AD460" i="5"/>
  <c r="AE460" i="5"/>
  <c r="AE371" i="5"/>
  <c r="BF371" i="5"/>
  <c r="AD371" i="5"/>
  <c r="AE356" i="5"/>
  <c r="AD356" i="5"/>
  <c r="BF356" i="5"/>
  <c r="AD193" i="5"/>
  <c r="AE193" i="5"/>
  <c r="BF193" i="5"/>
  <c r="BF133" i="5"/>
  <c r="AD133" i="5"/>
  <c r="AE133" i="5"/>
  <c r="AE19" i="5"/>
  <c r="AD19" i="5"/>
  <c r="BF19" i="5"/>
  <c r="AE341" i="5"/>
  <c r="AD341" i="5"/>
  <c r="BF341" i="5"/>
  <c r="AD181" i="5"/>
  <c r="BF181" i="5"/>
  <c r="AE181" i="5"/>
  <c r="AD209" i="5"/>
  <c r="BF209" i="5"/>
  <c r="AE209" i="5"/>
  <c r="AD353" i="5"/>
  <c r="AE353" i="5"/>
  <c r="BF353" i="5"/>
  <c r="AE87" i="5"/>
  <c r="AD87" i="5"/>
  <c r="BF87" i="5"/>
  <c r="AE458" i="5"/>
  <c r="BF458" i="5"/>
  <c r="AD458" i="5"/>
  <c r="AD301" i="5"/>
  <c r="AE301" i="5"/>
  <c r="BF301" i="5"/>
  <c r="BF153" i="5"/>
  <c r="AD153" i="5"/>
  <c r="AE153" i="5"/>
  <c r="AE74" i="5"/>
  <c r="BF74" i="5"/>
  <c r="AD74" i="5"/>
  <c r="AE399" i="5"/>
  <c r="AD399" i="5"/>
  <c r="BF399" i="5"/>
  <c r="AD346" i="5"/>
  <c r="AE346" i="5"/>
  <c r="BF346" i="5"/>
  <c r="AE82" i="5"/>
  <c r="AD82" i="5"/>
  <c r="BF82" i="5"/>
  <c r="AE33" i="5"/>
  <c r="AD33" i="5"/>
  <c r="BF33" i="5"/>
  <c r="AD323" i="5"/>
  <c r="BF323" i="5"/>
  <c r="AE323" i="5"/>
  <c r="AE155" i="5"/>
  <c r="AD155" i="5"/>
  <c r="BF155" i="5"/>
  <c r="AD223" i="5"/>
  <c r="BF223" i="5"/>
  <c r="AE223" i="5"/>
  <c r="AE335" i="5"/>
  <c r="BF335" i="5"/>
  <c r="AD335" i="5"/>
  <c r="AD389" i="5"/>
  <c r="AE389" i="5"/>
  <c r="BF389" i="5"/>
  <c r="AD530" i="5"/>
  <c r="AE530" i="5"/>
  <c r="BF530" i="5"/>
  <c r="BF154" i="5"/>
  <c r="AE154" i="5"/>
  <c r="AD154" i="5"/>
  <c r="AD347" i="5"/>
  <c r="BF347" i="5"/>
  <c r="AE347" i="5"/>
  <c r="AD306" i="5"/>
  <c r="BF306" i="5"/>
  <c r="AE306" i="5"/>
  <c r="BF305" i="5"/>
  <c r="AE305" i="5"/>
  <c r="AD305" i="5"/>
  <c r="AD536" i="5"/>
  <c r="BF536" i="5"/>
  <c r="AE536" i="5"/>
  <c r="AE196" i="5"/>
  <c r="AD196" i="5"/>
  <c r="BF196" i="5"/>
  <c r="AD215" i="5"/>
  <c r="AE215" i="5"/>
  <c r="BF215" i="5"/>
  <c r="AE78" i="5"/>
  <c r="BF78" i="5"/>
  <c r="AD78" i="5"/>
  <c r="AE192" i="5"/>
  <c r="BF192" i="5"/>
  <c r="AD192" i="5"/>
  <c r="AE404" i="5"/>
  <c r="AD404" i="5"/>
  <c r="BF404" i="5"/>
  <c r="AD355" i="5"/>
  <c r="AE355" i="5"/>
  <c r="BF355" i="5"/>
  <c r="BF386" i="5"/>
  <c r="AD386" i="5"/>
  <c r="AE386" i="5"/>
  <c r="AD302" i="5"/>
  <c r="AE302" i="5"/>
  <c r="BF302" i="5"/>
  <c r="BF444" i="5"/>
  <c r="AD444" i="5"/>
  <c r="AE444" i="5"/>
  <c r="AO41" i="4"/>
  <c r="BK54" i="5"/>
  <c r="BJ54" i="5"/>
  <c r="AO115" i="4"/>
  <c r="AU115" i="4" s="1"/>
  <c r="AW115" i="4" s="1"/>
  <c r="AE304" i="5"/>
  <c r="AD304" i="5"/>
  <c r="BF304" i="5"/>
  <c r="BJ219" i="5"/>
  <c r="BK219" i="5"/>
  <c r="BK13" i="5"/>
  <c r="BJ13" i="5"/>
  <c r="AO14" i="4"/>
  <c r="AE527" i="5"/>
  <c r="BF527" i="5"/>
  <c r="AD527" i="5"/>
  <c r="AD129" i="5"/>
  <c r="BF129" i="5"/>
  <c r="AE129" i="5"/>
  <c r="AO44" i="4"/>
  <c r="AK11" i="5"/>
  <c r="AL11" i="5"/>
  <c r="AP11" i="5"/>
  <c r="AO11" i="5"/>
  <c r="AN11" i="5"/>
  <c r="AO70" i="4"/>
  <c r="AU70" i="4" s="1"/>
  <c r="AW70" i="4" s="1"/>
  <c r="BK159" i="5"/>
  <c r="BJ159" i="5"/>
  <c r="BJ394" i="5"/>
  <c r="BK394" i="5"/>
  <c r="BF46" i="5"/>
  <c r="AD46" i="5"/>
  <c r="AE46" i="5"/>
  <c r="AD405" i="5"/>
  <c r="BF405" i="5"/>
  <c r="AE405" i="5"/>
  <c r="AE62" i="5"/>
  <c r="AD62" i="5"/>
  <c r="BF62" i="5"/>
  <c r="AD466" i="5"/>
  <c r="BF466" i="5"/>
  <c r="AE466" i="5"/>
  <c r="AD34" i="5"/>
  <c r="BF34" i="5"/>
  <c r="AE34" i="5"/>
  <c r="AE149" i="5"/>
  <c r="AD149" i="5"/>
  <c r="BF149" i="5"/>
  <c r="AE350" i="5"/>
  <c r="BF350" i="5"/>
  <c r="AD350" i="5"/>
  <c r="AE123" i="5"/>
  <c r="AD123" i="5"/>
  <c r="BF123" i="5"/>
  <c r="AE442" i="5"/>
  <c r="BF442" i="5"/>
  <c r="AD442" i="5"/>
  <c r="AE13" i="5"/>
  <c r="AD13" i="5"/>
  <c r="BF13" i="5"/>
  <c r="BF438" i="5"/>
  <c r="AE438" i="5"/>
  <c r="AD438" i="5"/>
  <c r="AD451" i="5"/>
  <c r="AE451" i="5"/>
  <c r="BF451" i="5"/>
  <c r="AD276" i="5"/>
  <c r="BF276" i="5"/>
  <c r="AE276" i="5"/>
  <c r="AE379" i="5"/>
  <c r="AD379" i="5"/>
  <c r="BF379" i="5"/>
  <c r="AE30" i="5"/>
  <c r="BF30" i="5"/>
  <c r="AD30" i="5"/>
  <c r="AD489" i="5"/>
  <c r="BF489" i="5"/>
  <c r="AE489" i="5"/>
  <c r="BF113" i="5"/>
  <c r="AE113" i="5"/>
  <c r="AD113" i="5"/>
  <c r="AE380" i="5"/>
  <c r="BF380" i="5"/>
  <c r="AD380" i="5"/>
  <c r="AE84" i="5"/>
  <c r="BF84" i="5"/>
  <c r="AD84" i="5"/>
  <c r="AD108" i="5"/>
  <c r="AE108" i="5"/>
  <c r="BF108" i="5"/>
  <c r="AE463" i="5"/>
  <c r="BF463" i="5"/>
  <c r="AD463" i="5"/>
  <c r="AE80" i="5"/>
  <c r="BF80" i="5"/>
  <c r="AD80" i="5"/>
  <c r="BF550" i="5"/>
  <c r="AD550" i="5"/>
  <c r="AE550" i="5"/>
  <c r="AE226" i="5"/>
  <c r="BF226" i="5"/>
  <c r="AD226" i="5"/>
  <c r="BF338" i="5"/>
  <c r="AE338" i="5"/>
  <c r="AD338" i="5"/>
  <c r="AD390" i="5"/>
  <c r="AE390" i="5"/>
  <c r="BF390" i="5"/>
  <c r="AD375" i="5"/>
  <c r="AE375" i="5"/>
  <c r="BF375" i="5"/>
  <c r="AE131" i="5"/>
  <c r="AD131" i="5"/>
  <c r="BF131" i="5"/>
  <c r="AE257" i="5"/>
  <c r="BF257" i="5"/>
  <c r="AD257" i="5"/>
  <c r="BF24" i="5"/>
  <c r="AE24" i="5"/>
  <c r="AD24" i="5"/>
  <c r="AE224" i="5"/>
  <c r="BF224" i="5"/>
  <c r="AD224" i="5"/>
  <c r="AE313" i="5"/>
  <c r="AD313" i="5"/>
  <c r="BF313" i="5"/>
  <c r="AD363" i="5"/>
  <c r="AE363" i="5"/>
  <c r="BF363" i="5"/>
  <c r="AD382" i="5"/>
  <c r="AE382" i="5"/>
  <c r="BF382" i="5"/>
  <c r="AE9" i="5"/>
  <c r="AD9" i="5"/>
  <c r="BF9" i="5"/>
  <c r="BJ68" i="5"/>
  <c r="BK68" i="5"/>
  <c r="AO104" i="4"/>
  <c r="AU104" i="4" s="1"/>
  <c r="AW104" i="4" s="1"/>
  <c r="AE281" i="5"/>
  <c r="BF281" i="5"/>
  <c r="AD281" i="5"/>
  <c r="AD49" i="5"/>
  <c r="AE49" i="5"/>
  <c r="BF49" i="5"/>
  <c r="BF225" i="5"/>
  <c r="AD225" i="5"/>
  <c r="AE225" i="5"/>
  <c r="BF213" i="5"/>
  <c r="AE213" i="5"/>
  <c r="AD213" i="5"/>
  <c r="BF90" i="5"/>
  <c r="AD90" i="5"/>
  <c r="AE90" i="5"/>
  <c r="AE475" i="5"/>
  <c r="AD475" i="5"/>
  <c r="BF475" i="5"/>
  <c r="AD443" i="5"/>
  <c r="BF443" i="5"/>
  <c r="AE443" i="5"/>
  <c r="AD98" i="5"/>
  <c r="BF98" i="5"/>
  <c r="AE98" i="5"/>
  <c r="AE31" i="5"/>
  <c r="AD31" i="5"/>
  <c r="BF31" i="5"/>
  <c r="BF440" i="5"/>
  <c r="AE440" i="5"/>
  <c r="AD440" i="5"/>
  <c r="AE401" i="5"/>
  <c r="BF401" i="5"/>
  <c r="AD401" i="5"/>
  <c r="BF403" i="5"/>
  <c r="AD403" i="5"/>
  <c r="AE403" i="5"/>
  <c r="BF465" i="5"/>
  <c r="AE465" i="5"/>
  <c r="AD465" i="5"/>
  <c r="AD492" i="5"/>
  <c r="AE492" i="5"/>
  <c r="BF492" i="5"/>
  <c r="AD61" i="5"/>
  <c r="AE61" i="5"/>
  <c r="BF61" i="5"/>
  <c r="AD411" i="5"/>
  <c r="AE411" i="5"/>
  <c r="BF411" i="5"/>
  <c r="BF555" i="5"/>
  <c r="AE555" i="5"/>
  <c r="AD555" i="5"/>
  <c r="AD240" i="5"/>
  <c r="AE240" i="5"/>
  <c r="BF240" i="5"/>
  <c r="AD204" i="5"/>
  <c r="AE204" i="5"/>
  <c r="BF204" i="5"/>
  <c r="AE222" i="5"/>
  <c r="AD222" i="5"/>
  <c r="BF222" i="5"/>
  <c r="AE506" i="5"/>
  <c r="AD506" i="5"/>
  <c r="BF506" i="5"/>
  <c r="BF434" i="5"/>
  <c r="AD434" i="5"/>
  <c r="AE434" i="5"/>
  <c r="BF246" i="5"/>
  <c r="AE246" i="5"/>
  <c r="AD246" i="5"/>
  <c r="AE533" i="5"/>
  <c r="BF533" i="5"/>
  <c r="AD533" i="5"/>
  <c r="BF511" i="5"/>
  <c r="AE511" i="5"/>
  <c r="AD511" i="5"/>
  <c r="BF86" i="5"/>
  <c r="AE86" i="5"/>
  <c r="AD86" i="5"/>
  <c r="AD114" i="5"/>
  <c r="AE114" i="5"/>
  <c r="BF114" i="5"/>
  <c r="BF161" i="5"/>
  <c r="AE161" i="5"/>
  <c r="AD161" i="5"/>
  <c r="BF227" i="5"/>
  <c r="AD227" i="5"/>
  <c r="AE227" i="5"/>
  <c r="AD212" i="5"/>
  <c r="BF212" i="5"/>
  <c r="AE212" i="5"/>
  <c r="AD127" i="5"/>
  <c r="BF127" i="5"/>
  <c r="AE127" i="5"/>
  <c r="AE233" i="5"/>
  <c r="AD233" i="5"/>
  <c r="BF233" i="5"/>
  <c r="AO29" i="4"/>
  <c r="AO51" i="4"/>
  <c r="AD76" i="5"/>
  <c r="AE76" i="5"/>
  <c r="BF76" i="5"/>
  <c r="BF166" i="5"/>
  <c r="AE166" i="5"/>
  <c r="AD166" i="5"/>
  <c r="BF507" i="5"/>
  <c r="AE507" i="5"/>
  <c r="AD507" i="5"/>
  <c r="BF51" i="5"/>
  <c r="AE51" i="5"/>
  <c r="AD51" i="5"/>
  <c r="AE83" i="5"/>
  <c r="AD83" i="5"/>
  <c r="BF83" i="5"/>
  <c r="AD236" i="5"/>
  <c r="BF236" i="5"/>
  <c r="AE236" i="5"/>
  <c r="AE93" i="5"/>
  <c r="AD93" i="5"/>
  <c r="BF93" i="5"/>
  <c r="AD474" i="5"/>
  <c r="BF474" i="5"/>
  <c r="AE474" i="5"/>
  <c r="BF191" i="5"/>
  <c r="AD191" i="5"/>
  <c r="AE191" i="5"/>
  <c r="AD203" i="5"/>
  <c r="BF203" i="5"/>
  <c r="AE203" i="5"/>
  <c r="AD486" i="5"/>
  <c r="AE486" i="5"/>
  <c r="BF486" i="5"/>
  <c r="BF95" i="5"/>
  <c r="AD95" i="5"/>
  <c r="AE95" i="5"/>
  <c r="AD333" i="5"/>
  <c r="BF333" i="5"/>
  <c r="AE333" i="5"/>
  <c r="AD545" i="5"/>
  <c r="BF545" i="5"/>
  <c r="AE545" i="5"/>
  <c r="BF378" i="5"/>
  <c r="AE378" i="5"/>
  <c r="AD378" i="5"/>
  <c r="AE67" i="5"/>
  <c r="AD67" i="5"/>
  <c r="BF67" i="5"/>
  <c r="BF275" i="5"/>
  <c r="AE275" i="5"/>
  <c r="AD275" i="5"/>
  <c r="BF151" i="5"/>
  <c r="AE151" i="5"/>
  <c r="AD151" i="5"/>
  <c r="BF483" i="5"/>
  <c r="AE483" i="5"/>
  <c r="AD483" i="5"/>
  <c r="AD25" i="5"/>
  <c r="BF25" i="5"/>
  <c r="AE25" i="5"/>
  <c r="AD433" i="5"/>
  <c r="BF433" i="5"/>
  <c r="AE433" i="5"/>
  <c r="AD199" i="5"/>
  <c r="AE199" i="5"/>
  <c r="BF199" i="5"/>
  <c r="BF472" i="5"/>
  <c r="AE472" i="5"/>
  <c r="AD472" i="5"/>
  <c r="AE211" i="5"/>
  <c r="AD211" i="5"/>
  <c r="BF211" i="5"/>
  <c r="AE471" i="5"/>
  <c r="BF471" i="5"/>
  <c r="AD471" i="5"/>
  <c r="BF241" i="5"/>
  <c r="AE241" i="5"/>
  <c r="AD241" i="5"/>
  <c r="AE469" i="5"/>
  <c r="AD469" i="5"/>
  <c r="BF469" i="5"/>
  <c r="BF174" i="5"/>
  <c r="AE174" i="5"/>
  <c r="AD174" i="5"/>
  <c r="AE484" i="5"/>
  <c r="BF484" i="5"/>
  <c r="AD484" i="5"/>
  <c r="AE546" i="5"/>
  <c r="AD546" i="5"/>
  <c r="BF546" i="5"/>
  <c r="AD244" i="5"/>
  <c r="BF244" i="5"/>
  <c r="AE244" i="5"/>
  <c r="BF75" i="5"/>
  <c r="AE75" i="5"/>
  <c r="AD75" i="5"/>
  <c r="AE137" i="5"/>
  <c r="AD137" i="5"/>
  <c r="BF137" i="5"/>
  <c r="AE328" i="5"/>
  <c r="AD328" i="5"/>
  <c r="BF328" i="5"/>
  <c r="BF110" i="5"/>
  <c r="AD110" i="5"/>
  <c r="AE110" i="5"/>
  <c r="BF500" i="5"/>
  <c r="AE500" i="5"/>
  <c r="AD500" i="5"/>
  <c r="AD164" i="5"/>
  <c r="AE164" i="5"/>
  <c r="BF164" i="5"/>
  <c r="BF554" i="5"/>
  <c r="AD554" i="5"/>
  <c r="AE554" i="5"/>
  <c r="AE329" i="5"/>
  <c r="BF329" i="5"/>
  <c r="AD329" i="5"/>
  <c r="AE195" i="5"/>
  <c r="BF195" i="5"/>
  <c r="AD195" i="5"/>
  <c r="AE349" i="5"/>
  <c r="AD349" i="5"/>
  <c r="BF349" i="5"/>
  <c r="AE339" i="5"/>
  <c r="AD339" i="5"/>
  <c r="BF339" i="5"/>
  <c r="BF417" i="5"/>
  <c r="AD417" i="5"/>
  <c r="AE417" i="5"/>
  <c r="BF262" i="5"/>
  <c r="AE262" i="5"/>
  <c r="AD262" i="5"/>
  <c r="AE412" i="5"/>
  <c r="AD412" i="5"/>
  <c r="BF412" i="5"/>
  <c r="BF495" i="5"/>
  <c r="AD495" i="5"/>
  <c r="AE495" i="5"/>
  <c r="AD394" i="5"/>
  <c r="AE394" i="5"/>
  <c r="BF394" i="5"/>
  <c r="AD229" i="5"/>
  <c r="AE229" i="5"/>
  <c r="BF229" i="5"/>
  <c r="AE99" i="5"/>
  <c r="BF99" i="5"/>
  <c r="AD99" i="5"/>
  <c r="AD159" i="5"/>
  <c r="AE159" i="5"/>
  <c r="BF159" i="5"/>
  <c r="AD523" i="5"/>
  <c r="BF523" i="5"/>
  <c r="AE523" i="5"/>
  <c r="AE532" i="5"/>
  <c r="BF532" i="5"/>
  <c r="AD532" i="5"/>
  <c r="AE237" i="5"/>
  <c r="BF237" i="5"/>
  <c r="AD237" i="5"/>
  <c r="BF274" i="5"/>
  <c r="AE274" i="5"/>
  <c r="AD274" i="5"/>
  <c r="AE359" i="5"/>
  <c r="AD359" i="5"/>
  <c r="BF359" i="5"/>
  <c r="AD136" i="5"/>
  <c r="BF136" i="5"/>
  <c r="AE136" i="5"/>
  <c r="BF548" i="5"/>
  <c r="AE548" i="5"/>
  <c r="AD548" i="5"/>
  <c r="AD189" i="5"/>
  <c r="BF189" i="5"/>
  <c r="AE189" i="5"/>
  <c r="AD146" i="5"/>
  <c r="BF146" i="5"/>
  <c r="AE146" i="5"/>
  <c r="AD169" i="5"/>
  <c r="AE169" i="5"/>
  <c r="BF169" i="5"/>
  <c r="AD520" i="5"/>
  <c r="AE520" i="5"/>
  <c r="BF520" i="5"/>
  <c r="AE310" i="5"/>
  <c r="BF310" i="5"/>
  <c r="AD310" i="5"/>
  <c r="AD59" i="5"/>
  <c r="BF59" i="5"/>
  <c r="AE59" i="5"/>
  <c r="AD39" i="5"/>
  <c r="BF39" i="5"/>
  <c r="AE39" i="5"/>
  <c r="AE496" i="5"/>
  <c r="AD496" i="5"/>
  <c r="BF496" i="5"/>
  <c r="AD517" i="5"/>
  <c r="AE517" i="5"/>
  <c r="BF517" i="5"/>
  <c r="BK372" i="5"/>
  <c r="BJ372" i="5"/>
  <c r="AO39" i="4"/>
  <c r="BK452" i="5"/>
  <c r="BJ452" i="5"/>
  <c r="BF525" i="5"/>
  <c r="AE525" i="5"/>
  <c r="AD525" i="5"/>
  <c r="AO153" i="4"/>
  <c r="AU153" i="4" s="1"/>
  <c r="AW153" i="4" s="1"/>
  <c r="AD170" i="5"/>
  <c r="BF170" i="5"/>
  <c r="AE170" i="5"/>
  <c r="AO83" i="4"/>
  <c r="AU83" i="4" s="1"/>
  <c r="AW83" i="4" s="1"/>
  <c r="BK500" i="5"/>
  <c r="BJ500" i="5"/>
  <c r="AO33" i="4"/>
  <c r="AX11" i="5"/>
  <c r="AY11" i="5"/>
  <c r="AU11" i="5"/>
  <c r="BC11" i="5"/>
  <c r="AV11" i="5"/>
  <c r="AO43" i="4"/>
  <c r="AO119" i="4"/>
  <c r="AU119" i="4" s="1"/>
  <c r="AW119" i="4" s="1"/>
  <c r="BJ504" i="5"/>
  <c r="BK504" i="5"/>
  <c r="AO28" i="4"/>
  <c r="AO58" i="4" l="1"/>
  <c r="AU58" i="4" s="1"/>
  <c r="AW58" i="4" s="1"/>
  <c r="AO130" i="4"/>
  <c r="AU130" i="4" s="1"/>
  <c r="AW130" i="4" s="1"/>
  <c r="AU86" i="4"/>
  <c r="AW86" i="4" s="1"/>
  <c r="AO145" i="4"/>
  <c r="AU145" i="4" s="1"/>
  <c r="AW145" i="4" s="1"/>
  <c r="AO76" i="4"/>
  <c r="AU76" i="4" s="1"/>
  <c r="AW76" i="4" s="1"/>
  <c r="AO75" i="4"/>
  <c r="AU75" i="4" s="1"/>
  <c r="AW75" i="4" s="1"/>
  <c r="BH418" i="5"/>
  <c r="BM418" i="5" s="1"/>
  <c r="AU127" i="4"/>
  <c r="AW127" i="4" s="1"/>
  <c r="AU53" i="4"/>
  <c r="AW53" i="4" s="1"/>
  <c r="AU39" i="4"/>
  <c r="AW39" i="4" s="1"/>
  <c r="AU123" i="4"/>
  <c r="AW123" i="4" s="1"/>
  <c r="AU43" i="4"/>
  <c r="AW43" i="4" s="1"/>
  <c r="AU51" i="4"/>
  <c r="AW51" i="4" s="1"/>
  <c r="AU28" i="4"/>
  <c r="AW28" i="4" s="1"/>
  <c r="AU131" i="4"/>
  <c r="AW131" i="4" s="1"/>
  <c r="AU126" i="4"/>
  <c r="AW126" i="4" s="1"/>
  <c r="AU56" i="4"/>
  <c r="AW56" i="4" s="1"/>
  <c r="AU30" i="4"/>
  <c r="AW30" i="4" s="1"/>
  <c r="AU29" i="4"/>
  <c r="AW29" i="4" s="1"/>
  <c r="AU33" i="4"/>
  <c r="AW33" i="4" s="1"/>
  <c r="AU154" i="4"/>
  <c r="AW154" i="4" s="1"/>
  <c r="AU35" i="4"/>
  <c r="AW35" i="4" s="1"/>
  <c r="AU36" i="4"/>
  <c r="AW36" i="4" s="1"/>
  <c r="AU73" i="4"/>
  <c r="AW73" i="4" s="1"/>
  <c r="AU27" i="4"/>
  <c r="AW27" i="4" s="1"/>
  <c r="AU52" i="4"/>
  <c r="AW52" i="4" s="1"/>
  <c r="AU41" i="4"/>
  <c r="AW41" i="4" s="1"/>
  <c r="AU31" i="4"/>
  <c r="AW31" i="4" s="1"/>
  <c r="AU48" i="4"/>
  <c r="AW48" i="4" s="1"/>
  <c r="AU78" i="4"/>
  <c r="AW78" i="4" s="1"/>
  <c r="AU14" i="4"/>
  <c r="AW14" i="4" s="1"/>
  <c r="AU46" i="4"/>
  <c r="AW46" i="4" s="1"/>
  <c r="AO57" i="4"/>
  <c r="AK62" i="4"/>
  <c r="AL62" i="4" s="1"/>
  <c r="AO62" i="4" s="1"/>
  <c r="AU114" i="4"/>
  <c r="AW114" i="4" s="1"/>
  <c r="AU142" i="4"/>
  <c r="AW142" i="4" s="1"/>
  <c r="AU49" i="4"/>
  <c r="AW49" i="4" s="1"/>
  <c r="AU44" i="4"/>
  <c r="AW44" i="4" s="1"/>
  <c r="AU149" i="4"/>
  <c r="AW149" i="4" s="1"/>
  <c r="AU37" i="4"/>
  <c r="AW37" i="4" s="1"/>
  <c r="AU19" i="4"/>
  <c r="AW19" i="4" s="1"/>
  <c r="AU85" i="4"/>
  <c r="AW85" i="4" s="1"/>
  <c r="AK65" i="4"/>
  <c r="AL65" i="4" s="1"/>
  <c r="AO65" i="4" s="1"/>
  <c r="AU134" i="4"/>
  <c r="AW134" i="4" s="1"/>
  <c r="AU21" i="4"/>
  <c r="AW21" i="4" s="1"/>
  <c r="AK55" i="4"/>
  <c r="AL55" i="4" s="1"/>
  <c r="AO55" i="4" s="1"/>
  <c r="AC40" i="4"/>
  <c r="AD40" i="4" s="1"/>
  <c r="AQ40" i="4"/>
  <c r="AP40" i="4"/>
  <c r="AP64" i="4"/>
  <c r="AQ64" i="4"/>
  <c r="AC64" i="4"/>
  <c r="AD64" i="4" s="1"/>
  <c r="AC62" i="4"/>
  <c r="AD62" i="4" s="1"/>
  <c r="AU140" i="4"/>
  <c r="AW140" i="4" s="1"/>
  <c r="AP50" i="4"/>
  <c r="AQ50" i="4"/>
  <c r="AC50" i="4"/>
  <c r="AD50" i="4" s="1"/>
  <c r="AQ42" i="4"/>
  <c r="AP42" i="4"/>
  <c r="AC42" i="4"/>
  <c r="AD42" i="4" s="1"/>
  <c r="AQ45" i="4"/>
  <c r="AP45" i="4"/>
  <c r="AC45" i="4"/>
  <c r="AD45" i="4" s="1"/>
  <c r="AJ54" i="4"/>
  <c r="AA54" i="4"/>
  <c r="AJ57" i="4"/>
  <c r="AA57" i="4"/>
  <c r="AJ61" i="4"/>
  <c r="AA61" i="4"/>
  <c r="AO90" i="4"/>
  <c r="AU90" i="4" s="1"/>
  <c r="AW90" i="4" s="1"/>
  <c r="AJ60" i="4"/>
  <c r="AA60" i="4"/>
  <c r="AK61" i="4"/>
  <c r="AL61" i="4" s="1"/>
  <c r="AO61" i="4" s="1"/>
  <c r="AK54" i="4"/>
  <c r="AL54" i="4" s="1"/>
  <c r="AO54" i="4" s="1"/>
  <c r="AJ63" i="4"/>
  <c r="AA63" i="4"/>
  <c r="AK63" i="4"/>
  <c r="AL63" i="4" s="1"/>
  <c r="AO63" i="4" s="1"/>
  <c r="AJ59" i="4"/>
  <c r="AA59" i="4"/>
  <c r="AA65" i="4"/>
  <c r="AU34" i="4"/>
  <c r="AW34" i="4" s="1"/>
  <c r="AK60" i="4"/>
  <c r="AL60" i="4" s="1"/>
  <c r="AO60" i="4" s="1"/>
  <c r="AQ62" i="4"/>
  <c r="AA55" i="4"/>
  <c r="AQ26" i="4"/>
  <c r="AP26" i="4"/>
  <c r="AC26" i="4"/>
  <c r="AD26" i="4" s="1"/>
  <c r="AU151" i="4"/>
  <c r="AW151" i="4" s="1"/>
  <c r="AC32" i="4"/>
  <c r="AD32" i="4" s="1"/>
  <c r="AQ32" i="4"/>
  <c r="AP32" i="4"/>
  <c r="AU148" i="4"/>
  <c r="AW148" i="4" s="1"/>
  <c r="AU117" i="4"/>
  <c r="AW117" i="4" s="1"/>
  <c r="AU11" i="4"/>
  <c r="AW11" i="4" s="1"/>
  <c r="AU105" i="4"/>
  <c r="AW105" i="4" s="1"/>
  <c r="AU155" i="4"/>
  <c r="AW155" i="4" s="1"/>
  <c r="AU141" i="4"/>
  <c r="AW141" i="4" s="1"/>
  <c r="AU13" i="4"/>
  <c r="AW13" i="4" s="1"/>
  <c r="AO124" i="4"/>
  <c r="AU124" i="4" s="1"/>
  <c r="AW124" i="4" s="1"/>
  <c r="AU10" i="4"/>
  <c r="AW10" i="4" s="1"/>
  <c r="AU129" i="4"/>
  <c r="AW129" i="4" s="1"/>
  <c r="AU106" i="4"/>
  <c r="AW106" i="4" s="1"/>
  <c r="AU110" i="4"/>
  <c r="AW110" i="4" s="1"/>
  <c r="AU133" i="4"/>
  <c r="AW133" i="4" s="1"/>
  <c r="AO94" i="4"/>
  <c r="AU94" i="4" s="1"/>
  <c r="AW94" i="4" s="1"/>
  <c r="AO101" i="4"/>
  <c r="AU101" i="4" s="1"/>
  <c r="AW101" i="4" s="1"/>
  <c r="AU122" i="4"/>
  <c r="AW122" i="4" s="1"/>
  <c r="AU74" i="4"/>
  <c r="AW74" i="4" s="1"/>
  <c r="AU152" i="4"/>
  <c r="AW152" i="4" s="1"/>
  <c r="AU108" i="4"/>
  <c r="AW108" i="4" s="1"/>
  <c r="AU109" i="4"/>
  <c r="AW109" i="4" s="1"/>
  <c r="AU97" i="4"/>
  <c r="AW97" i="4" s="1"/>
  <c r="AU118" i="4"/>
  <c r="AW118" i="4" s="1"/>
  <c r="AU69" i="4"/>
  <c r="AW69" i="4" s="1"/>
  <c r="AU93" i="4"/>
  <c r="AW93" i="4" s="1"/>
  <c r="AU144" i="4"/>
  <c r="AW144" i="4" s="1"/>
  <c r="AU112" i="4"/>
  <c r="AW112" i="4" s="1"/>
  <c r="AU25" i="4"/>
  <c r="AW25" i="4" s="1"/>
  <c r="AU24" i="4"/>
  <c r="AW24" i="4" s="1"/>
  <c r="AU12" i="4"/>
  <c r="AW12" i="4" s="1"/>
  <c r="AD11" i="5"/>
  <c r="AU135" i="4"/>
  <c r="AW135" i="4" s="1"/>
  <c r="AU18" i="4"/>
  <c r="AW18" i="4" s="1"/>
  <c r="AU125" i="4"/>
  <c r="AW125" i="4" s="1"/>
  <c r="AU95" i="4"/>
  <c r="AW95" i="4" s="1"/>
  <c r="AU22" i="4"/>
  <c r="AW22" i="4" s="1"/>
  <c r="AU92" i="4"/>
  <c r="AW92" i="4" s="1"/>
  <c r="AU136" i="4"/>
  <c r="AW136" i="4" s="1"/>
  <c r="AU16" i="4"/>
  <c r="AW16" i="4" s="1"/>
  <c r="AU156" i="4"/>
  <c r="AW156" i="4" s="1"/>
  <c r="AU89" i="4"/>
  <c r="AW89" i="4" s="1"/>
  <c r="AU113" i="4"/>
  <c r="AW113" i="4" s="1"/>
  <c r="AO59" i="4"/>
  <c r="AU20" i="4"/>
  <c r="AW20" i="4" s="1"/>
  <c r="AO137" i="4"/>
  <c r="AU137" i="4" s="1"/>
  <c r="AW137" i="4" s="1"/>
  <c r="AU8" i="4"/>
  <c r="AW8" i="4" s="1"/>
  <c r="AU102" i="4"/>
  <c r="AW102" i="4" s="1"/>
  <c r="AU81" i="4"/>
  <c r="AW81" i="4" s="1"/>
  <c r="AU79" i="4"/>
  <c r="AW79" i="4" s="1"/>
  <c r="AU82" i="4"/>
  <c r="AW82" i="4" s="1"/>
  <c r="AO66" i="4"/>
  <c r="AU66" i="4" s="1"/>
  <c r="AW66" i="4" s="1"/>
  <c r="AU98" i="4"/>
  <c r="AW98" i="4" s="1"/>
  <c r="AU128" i="4"/>
  <c r="AW128" i="4" s="1"/>
  <c r="AU67" i="4"/>
  <c r="AW67" i="4" s="1"/>
  <c r="AU143" i="4"/>
  <c r="AW143" i="4" s="1"/>
  <c r="AU77" i="4"/>
  <c r="AW77" i="4" s="1"/>
  <c r="AU116" i="4"/>
  <c r="AW116" i="4" s="1"/>
  <c r="AU111" i="4"/>
  <c r="AW111" i="4" s="1"/>
  <c r="AU23" i="4"/>
  <c r="AW23" i="4" s="1"/>
  <c r="AU7" i="4"/>
  <c r="AW7" i="4" s="1"/>
  <c r="AU121" i="4"/>
  <c r="AW121" i="4" s="1"/>
  <c r="AU15" i="4"/>
  <c r="AW15" i="4" s="1"/>
  <c r="AU9" i="4"/>
  <c r="AW9" i="4" s="1"/>
  <c r="AU96" i="4"/>
  <c r="AW96" i="4" s="1"/>
  <c r="BH170" i="5"/>
  <c r="BM170" i="5" s="1"/>
  <c r="BG170" i="5"/>
  <c r="BL170" i="5" s="1"/>
  <c r="BH237" i="5"/>
  <c r="BM237" i="5" s="1"/>
  <c r="BG237" i="5"/>
  <c r="BL237" i="5" s="1"/>
  <c r="BH262" i="5"/>
  <c r="BM262" i="5" s="1"/>
  <c r="BG262" i="5"/>
  <c r="BL262" i="5" s="1"/>
  <c r="BG500" i="5"/>
  <c r="BL500" i="5" s="1"/>
  <c r="BH500" i="5"/>
  <c r="BM500" i="5" s="1"/>
  <c r="BG244" i="5"/>
  <c r="BL244" i="5" s="1"/>
  <c r="BH244" i="5"/>
  <c r="BM244" i="5" s="1"/>
  <c r="BG241" i="5"/>
  <c r="BL241" i="5" s="1"/>
  <c r="BH241" i="5"/>
  <c r="BM241" i="5" s="1"/>
  <c r="BG211" i="5"/>
  <c r="BL211" i="5" s="1"/>
  <c r="BH211" i="5"/>
  <c r="BM211" i="5" s="1"/>
  <c r="BG151" i="5"/>
  <c r="BL151" i="5" s="1"/>
  <c r="BH151" i="5"/>
  <c r="BM151" i="5" s="1"/>
  <c r="BG67" i="5"/>
  <c r="BL67" i="5" s="1"/>
  <c r="BH67" i="5"/>
  <c r="BM67" i="5" s="1"/>
  <c r="BG166" i="5"/>
  <c r="BL166" i="5" s="1"/>
  <c r="BH166" i="5"/>
  <c r="BM166" i="5" s="1"/>
  <c r="BG233" i="5"/>
  <c r="BL233" i="5" s="1"/>
  <c r="BH233" i="5"/>
  <c r="BM233" i="5" s="1"/>
  <c r="BG127" i="5"/>
  <c r="BL127" i="5" s="1"/>
  <c r="BH127" i="5"/>
  <c r="BM127" i="5" s="1"/>
  <c r="BH86" i="5"/>
  <c r="BM86" i="5" s="1"/>
  <c r="BG86" i="5"/>
  <c r="BL86" i="5" s="1"/>
  <c r="BH434" i="5"/>
  <c r="BM434" i="5" s="1"/>
  <c r="BG434" i="5"/>
  <c r="BL434" i="5" s="1"/>
  <c r="BG222" i="5"/>
  <c r="BL222" i="5" s="1"/>
  <c r="BH222" i="5"/>
  <c r="BM222" i="5" s="1"/>
  <c r="BG411" i="5"/>
  <c r="BL411" i="5" s="1"/>
  <c r="BH411" i="5"/>
  <c r="BM411" i="5" s="1"/>
  <c r="BG401" i="5"/>
  <c r="BL401" i="5" s="1"/>
  <c r="BH401" i="5"/>
  <c r="BM401" i="5" s="1"/>
  <c r="BH440" i="5"/>
  <c r="BM440" i="5" s="1"/>
  <c r="BG440" i="5"/>
  <c r="BL440" i="5" s="1"/>
  <c r="BG443" i="5"/>
  <c r="BL443" i="5" s="1"/>
  <c r="BH443" i="5"/>
  <c r="BM443" i="5" s="1"/>
  <c r="BH313" i="5"/>
  <c r="BM313" i="5" s="1"/>
  <c r="BG313" i="5"/>
  <c r="BL313" i="5" s="1"/>
  <c r="BG224" i="5"/>
  <c r="BL224" i="5" s="1"/>
  <c r="BH224" i="5"/>
  <c r="BM224" i="5" s="1"/>
  <c r="BG24" i="5"/>
  <c r="BL24" i="5" s="1"/>
  <c r="BH24" i="5"/>
  <c r="BM24" i="5" s="1"/>
  <c r="BG131" i="5"/>
  <c r="BL131" i="5" s="1"/>
  <c r="BH131" i="5"/>
  <c r="BM131" i="5" s="1"/>
  <c r="BH108" i="5"/>
  <c r="BM108" i="5" s="1"/>
  <c r="BG108" i="5"/>
  <c r="BL108" i="5" s="1"/>
  <c r="BH84" i="5"/>
  <c r="BM84" i="5" s="1"/>
  <c r="BG84" i="5"/>
  <c r="BL84" i="5" s="1"/>
  <c r="BG30" i="5"/>
  <c r="BL30" i="5" s="1"/>
  <c r="BH30" i="5"/>
  <c r="BM30" i="5" s="1"/>
  <c r="BH451" i="5"/>
  <c r="BM451" i="5" s="1"/>
  <c r="BG451" i="5"/>
  <c r="BL451" i="5" s="1"/>
  <c r="BH123" i="5"/>
  <c r="BM123" i="5" s="1"/>
  <c r="BG123" i="5"/>
  <c r="BL123" i="5" s="1"/>
  <c r="BH350" i="5"/>
  <c r="BM350" i="5" s="1"/>
  <c r="BG350" i="5"/>
  <c r="BL350" i="5" s="1"/>
  <c r="BH444" i="5"/>
  <c r="BM444" i="5" s="1"/>
  <c r="BG444" i="5"/>
  <c r="BL444" i="5" s="1"/>
  <c r="BG306" i="5"/>
  <c r="BL306" i="5" s="1"/>
  <c r="BH306" i="5"/>
  <c r="BM306" i="5" s="1"/>
  <c r="BH530" i="5"/>
  <c r="BM530" i="5" s="1"/>
  <c r="BG530" i="5"/>
  <c r="BL530" i="5" s="1"/>
  <c r="BH155" i="5"/>
  <c r="BM155" i="5" s="1"/>
  <c r="BG155" i="5"/>
  <c r="BL155" i="5" s="1"/>
  <c r="BH323" i="5"/>
  <c r="BM323" i="5" s="1"/>
  <c r="BG323" i="5"/>
  <c r="BL323" i="5" s="1"/>
  <c r="BH346" i="5"/>
  <c r="BM346" i="5" s="1"/>
  <c r="BG346" i="5"/>
  <c r="BL346" i="5" s="1"/>
  <c r="BG301" i="5"/>
  <c r="BL301" i="5" s="1"/>
  <c r="BH301" i="5"/>
  <c r="BM301" i="5" s="1"/>
  <c r="BG458" i="5"/>
  <c r="BL458" i="5" s="1"/>
  <c r="BH458" i="5"/>
  <c r="BM458" i="5" s="1"/>
  <c r="BH181" i="5"/>
  <c r="BM181" i="5" s="1"/>
  <c r="BG181" i="5"/>
  <c r="BL181" i="5" s="1"/>
  <c r="BG198" i="5"/>
  <c r="BL198" i="5" s="1"/>
  <c r="BH198" i="5"/>
  <c r="BM198" i="5" s="1"/>
  <c r="BH89" i="5"/>
  <c r="BM89" i="5" s="1"/>
  <c r="BG89" i="5"/>
  <c r="BL89" i="5" s="1"/>
  <c r="BG177" i="5"/>
  <c r="BL177" i="5" s="1"/>
  <c r="BH177" i="5"/>
  <c r="BM177" i="5" s="1"/>
  <c r="BG427" i="5"/>
  <c r="BL427" i="5" s="1"/>
  <c r="BH427" i="5"/>
  <c r="BM427" i="5" s="1"/>
  <c r="BG539" i="5"/>
  <c r="BL539" i="5" s="1"/>
  <c r="BH539" i="5"/>
  <c r="BM539" i="5" s="1"/>
  <c r="BG450" i="5"/>
  <c r="BL450" i="5" s="1"/>
  <c r="BH450" i="5"/>
  <c r="BM450" i="5" s="1"/>
  <c r="BH120" i="5"/>
  <c r="BM120" i="5" s="1"/>
  <c r="BG120" i="5"/>
  <c r="BL120" i="5" s="1"/>
  <c r="BH488" i="5"/>
  <c r="BM488" i="5" s="1"/>
  <c r="BG488" i="5"/>
  <c r="BL488" i="5" s="1"/>
  <c r="BG234" i="5"/>
  <c r="BL234" i="5" s="1"/>
  <c r="BH234" i="5"/>
  <c r="BM234" i="5" s="1"/>
  <c r="BH558" i="5"/>
  <c r="BM558" i="5" s="1"/>
  <c r="BG558" i="5"/>
  <c r="BL558" i="5" s="1"/>
  <c r="BH238" i="5"/>
  <c r="BM238" i="5" s="1"/>
  <c r="BG238" i="5"/>
  <c r="BL238" i="5" s="1"/>
  <c r="BH461" i="5"/>
  <c r="BM461" i="5" s="1"/>
  <c r="BG461" i="5"/>
  <c r="BL461" i="5" s="1"/>
  <c r="BH190" i="5"/>
  <c r="BM190" i="5" s="1"/>
  <c r="BG190" i="5"/>
  <c r="BL190" i="5" s="1"/>
  <c r="BH118" i="5"/>
  <c r="BM118" i="5" s="1"/>
  <c r="BG118" i="5"/>
  <c r="BL118" i="5" s="1"/>
  <c r="BH397" i="5"/>
  <c r="BM397" i="5" s="1"/>
  <c r="BG397" i="5"/>
  <c r="BL397" i="5" s="1"/>
  <c r="BH22" i="5"/>
  <c r="BM22" i="5" s="1"/>
  <c r="BG22" i="5"/>
  <c r="BL22" i="5" s="1"/>
  <c r="BG269" i="5"/>
  <c r="BL269" i="5" s="1"/>
  <c r="BH269" i="5"/>
  <c r="BM269" i="5" s="1"/>
  <c r="BH320" i="5"/>
  <c r="BM320" i="5" s="1"/>
  <c r="BG320" i="5"/>
  <c r="BL320" i="5" s="1"/>
  <c r="BG132" i="5"/>
  <c r="BL132" i="5" s="1"/>
  <c r="BH132" i="5"/>
  <c r="BM132" i="5" s="1"/>
  <c r="BG214" i="5"/>
  <c r="BL214" i="5" s="1"/>
  <c r="BH214" i="5"/>
  <c r="BM214" i="5" s="1"/>
  <c r="BG125" i="5"/>
  <c r="BL125" i="5" s="1"/>
  <c r="BH125" i="5"/>
  <c r="BM125" i="5" s="1"/>
  <c r="BG377" i="5"/>
  <c r="BL377" i="5" s="1"/>
  <c r="BH377" i="5"/>
  <c r="BM377" i="5" s="1"/>
  <c r="BG419" i="5"/>
  <c r="BL419" i="5" s="1"/>
  <c r="BH419" i="5"/>
  <c r="BM419" i="5" s="1"/>
  <c r="BH540" i="5"/>
  <c r="BM540" i="5" s="1"/>
  <c r="BG540" i="5"/>
  <c r="BL540" i="5" s="1"/>
  <c r="BG357" i="5"/>
  <c r="BL357" i="5" s="1"/>
  <c r="BH357" i="5"/>
  <c r="BM357" i="5" s="1"/>
  <c r="BH294" i="5"/>
  <c r="BM294" i="5" s="1"/>
  <c r="BG294" i="5"/>
  <c r="BL294" i="5" s="1"/>
  <c r="BG337" i="5"/>
  <c r="BL337" i="5" s="1"/>
  <c r="BH337" i="5"/>
  <c r="BM337" i="5" s="1"/>
  <c r="BH441" i="5"/>
  <c r="BM441" i="5" s="1"/>
  <c r="BG441" i="5"/>
  <c r="BL441" i="5" s="1"/>
  <c r="BH537" i="5"/>
  <c r="BM537" i="5" s="1"/>
  <c r="BG537" i="5"/>
  <c r="BL537" i="5" s="1"/>
  <c r="BG369" i="5"/>
  <c r="BL369" i="5" s="1"/>
  <c r="BH369" i="5"/>
  <c r="BM369" i="5" s="1"/>
  <c r="BH560" i="5"/>
  <c r="BM560" i="5" s="1"/>
  <c r="BG560" i="5"/>
  <c r="BL560" i="5" s="1"/>
  <c r="BG518" i="5"/>
  <c r="BL518" i="5" s="1"/>
  <c r="BH518" i="5"/>
  <c r="BM518" i="5" s="1"/>
  <c r="BG249" i="5"/>
  <c r="BL249" i="5" s="1"/>
  <c r="BH249" i="5"/>
  <c r="BM249" i="5" s="1"/>
  <c r="BH494" i="5"/>
  <c r="BM494" i="5" s="1"/>
  <c r="BG494" i="5"/>
  <c r="BL494" i="5" s="1"/>
  <c r="BH239" i="5"/>
  <c r="BM239" i="5" s="1"/>
  <c r="BG239" i="5"/>
  <c r="BL239" i="5" s="1"/>
  <c r="BH398" i="5"/>
  <c r="BM398" i="5" s="1"/>
  <c r="BG398" i="5"/>
  <c r="BL398" i="5" s="1"/>
  <c r="BG340" i="5"/>
  <c r="BL340" i="5" s="1"/>
  <c r="BH340" i="5"/>
  <c r="BM340" i="5" s="1"/>
  <c r="BG365" i="5"/>
  <c r="BL365" i="5" s="1"/>
  <c r="BH365" i="5"/>
  <c r="BM365" i="5" s="1"/>
  <c r="BH263" i="5"/>
  <c r="BM263" i="5" s="1"/>
  <c r="BG263" i="5"/>
  <c r="BL263" i="5" s="1"/>
  <c r="BG285" i="5"/>
  <c r="BL285" i="5" s="1"/>
  <c r="BH285" i="5"/>
  <c r="BM285" i="5" s="1"/>
  <c r="BH476" i="5"/>
  <c r="BM476" i="5" s="1"/>
  <c r="BG476" i="5"/>
  <c r="BL476" i="5" s="1"/>
  <c r="BG307" i="5"/>
  <c r="BL307" i="5" s="1"/>
  <c r="BH307" i="5"/>
  <c r="BM307" i="5" s="1"/>
  <c r="BG435" i="5"/>
  <c r="BL435" i="5" s="1"/>
  <c r="BH435" i="5"/>
  <c r="BM435" i="5" s="1"/>
  <c r="BG171" i="5"/>
  <c r="BL171" i="5" s="1"/>
  <c r="BH171" i="5"/>
  <c r="BM171" i="5" s="1"/>
  <c r="BH557" i="5"/>
  <c r="BM557" i="5" s="1"/>
  <c r="BG557" i="5"/>
  <c r="BL557" i="5" s="1"/>
  <c r="BG420" i="5"/>
  <c r="BL420" i="5" s="1"/>
  <c r="BH420" i="5"/>
  <c r="BM420" i="5" s="1"/>
  <c r="BG425" i="5"/>
  <c r="BL425" i="5" s="1"/>
  <c r="BH425" i="5"/>
  <c r="BM425" i="5" s="1"/>
  <c r="BG220" i="5"/>
  <c r="BL220" i="5" s="1"/>
  <c r="BH220" i="5"/>
  <c r="BM220" i="5" s="1"/>
  <c r="BG41" i="5"/>
  <c r="BL41" i="5" s="1"/>
  <c r="BH41" i="5"/>
  <c r="BM41" i="5" s="1"/>
  <c r="BG556" i="5"/>
  <c r="BL556" i="5" s="1"/>
  <c r="BH556" i="5"/>
  <c r="BM556" i="5" s="1"/>
  <c r="BG284" i="5"/>
  <c r="BL284" i="5" s="1"/>
  <c r="BH284" i="5"/>
  <c r="BM284" i="5" s="1"/>
  <c r="BH63" i="5"/>
  <c r="BM63" i="5" s="1"/>
  <c r="BG63" i="5"/>
  <c r="BL63" i="5" s="1"/>
  <c r="BG366" i="5"/>
  <c r="BL366" i="5" s="1"/>
  <c r="BH366" i="5"/>
  <c r="BM366" i="5" s="1"/>
  <c r="BG327" i="5"/>
  <c r="BL327" i="5" s="1"/>
  <c r="BH327" i="5"/>
  <c r="BM327" i="5" s="1"/>
  <c r="BH72" i="5"/>
  <c r="BM72" i="5" s="1"/>
  <c r="BG72" i="5"/>
  <c r="BL72" i="5" s="1"/>
  <c r="BG160" i="5"/>
  <c r="BL160" i="5" s="1"/>
  <c r="BH160" i="5"/>
  <c r="BM160" i="5" s="1"/>
  <c r="BH524" i="5"/>
  <c r="BM524" i="5" s="1"/>
  <c r="BG524" i="5"/>
  <c r="BL524" i="5" s="1"/>
  <c r="BH135" i="5"/>
  <c r="BM135" i="5" s="1"/>
  <c r="BG135" i="5"/>
  <c r="BL135" i="5" s="1"/>
  <c r="BG312" i="5"/>
  <c r="BL312" i="5" s="1"/>
  <c r="BH312" i="5"/>
  <c r="BM312" i="5" s="1"/>
  <c r="BH102" i="5"/>
  <c r="BM102" i="5" s="1"/>
  <c r="BG102" i="5"/>
  <c r="BL102" i="5" s="1"/>
  <c r="BH467" i="5"/>
  <c r="BM467" i="5" s="1"/>
  <c r="BG467" i="5"/>
  <c r="BL467" i="5" s="1"/>
  <c r="BH464" i="5"/>
  <c r="BM464" i="5" s="1"/>
  <c r="BG464" i="5"/>
  <c r="BL464" i="5" s="1"/>
  <c r="BH387" i="5"/>
  <c r="BM387" i="5" s="1"/>
  <c r="BG387" i="5"/>
  <c r="BL387" i="5" s="1"/>
  <c r="BG116" i="5"/>
  <c r="BL116" i="5" s="1"/>
  <c r="BH116" i="5"/>
  <c r="BM116" i="5" s="1"/>
  <c r="BH528" i="5"/>
  <c r="BM528" i="5" s="1"/>
  <c r="BG528" i="5"/>
  <c r="BL528" i="5" s="1"/>
  <c r="BH300" i="5"/>
  <c r="BM300" i="5" s="1"/>
  <c r="BG300" i="5"/>
  <c r="BL300" i="5" s="1"/>
  <c r="BG42" i="5"/>
  <c r="BL42" i="5" s="1"/>
  <c r="BH42" i="5"/>
  <c r="BM42" i="5" s="1"/>
  <c r="BG242" i="5"/>
  <c r="BL242" i="5" s="1"/>
  <c r="BH242" i="5"/>
  <c r="BM242" i="5" s="1"/>
  <c r="BG447" i="5"/>
  <c r="BL447" i="5" s="1"/>
  <c r="BH447" i="5"/>
  <c r="BM447" i="5" s="1"/>
  <c r="BG35" i="5"/>
  <c r="BL35" i="5" s="1"/>
  <c r="BH35" i="5"/>
  <c r="BM35" i="5" s="1"/>
  <c r="BG188" i="5"/>
  <c r="BL188" i="5" s="1"/>
  <c r="BH188" i="5"/>
  <c r="BM188" i="5" s="1"/>
  <c r="BG219" i="5"/>
  <c r="BL219" i="5" s="1"/>
  <c r="BH219" i="5"/>
  <c r="BM219" i="5" s="1"/>
  <c r="BG54" i="5"/>
  <c r="BL54" i="5" s="1"/>
  <c r="BH54" i="5"/>
  <c r="BM54" i="5" s="1"/>
  <c r="BG481" i="5"/>
  <c r="BL481" i="5" s="1"/>
  <c r="BH481" i="5"/>
  <c r="BM481" i="5" s="1"/>
  <c r="BG538" i="5"/>
  <c r="BL538" i="5" s="1"/>
  <c r="BH538" i="5"/>
  <c r="BM538" i="5" s="1"/>
  <c r="BH370" i="5"/>
  <c r="BM370" i="5" s="1"/>
  <c r="BG370" i="5"/>
  <c r="BL370" i="5" s="1"/>
  <c r="BG144" i="5"/>
  <c r="BL144" i="5" s="1"/>
  <c r="BH144" i="5"/>
  <c r="BM144" i="5" s="1"/>
  <c r="BH413" i="5"/>
  <c r="BM413" i="5" s="1"/>
  <c r="BG413" i="5"/>
  <c r="BL413" i="5" s="1"/>
  <c r="BG456" i="5"/>
  <c r="BL456" i="5" s="1"/>
  <c r="BH456" i="5"/>
  <c r="BM456" i="5" s="1"/>
  <c r="BG48" i="5"/>
  <c r="BL48" i="5" s="1"/>
  <c r="BH48" i="5"/>
  <c r="BM48" i="5" s="1"/>
  <c r="BH493" i="5"/>
  <c r="BM493" i="5" s="1"/>
  <c r="BG493" i="5"/>
  <c r="BL493" i="5" s="1"/>
  <c r="BH388" i="5"/>
  <c r="BM388" i="5" s="1"/>
  <c r="BG388" i="5"/>
  <c r="BL388" i="5" s="1"/>
  <c r="BG295" i="5"/>
  <c r="BL295" i="5" s="1"/>
  <c r="BH295" i="5"/>
  <c r="BM295" i="5" s="1"/>
  <c r="BH253" i="5"/>
  <c r="BM253" i="5" s="1"/>
  <c r="BG253" i="5"/>
  <c r="BL253" i="5" s="1"/>
  <c r="BG544" i="5"/>
  <c r="BL544" i="5" s="1"/>
  <c r="BH544" i="5"/>
  <c r="BM544" i="5" s="1"/>
  <c r="BG210" i="5"/>
  <c r="BL210" i="5" s="1"/>
  <c r="BH210" i="5"/>
  <c r="BM210" i="5" s="1"/>
  <c r="BH232" i="5"/>
  <c r="BM232" i="5" s="1"/>
  <c r="BG232" i="5"/>
  <c r="BL232" i="5" s="1"/>
  <c r="BG318" i="5"/>
  <c r="BL318" i="5" s="1"/>
  <c r="BH318" i="5"/>
  <c r="BM318" i="5" s="1"/>
  <c r="BH516" i="5"/>
  <c r="BM516" i="5" s="1"/>
  <c r="BG516" i="5"/>
  <c r="BL516" i="5" s="1"/>
  <c r="BH20" i="5"/>
  <c r="BM20" i="5" s="1"/>
  <c r="BG20" i="5"/>
  <c r="BL20" i="5" s="1"/>
  <c r="BH182" i="5"/>
  <c r="BM182" i="5" s="1"/>
  <c r="BG182" i="5"/>
  <c r="BL182" i="5" s="1"/>
  <c r="BH470" i="5"/>
  <c r="BM470" i="5" s="1"/>
  <c r="BG470" i="5"/>
  <c r="BL470" i="5" s="1"/>
  <c r="BH383" i="5"/>
  <c r="BM383" i="5" s="1"/>
  <c r="BG383" i="5"/>
  <c r="BL383" i="5" s="1"/>
  <c r="BH479" i="5"/>
  <c r="BM479" i="5" s="1"/>
  <c r="BG479" i="5"/>
  <c r="BL479" i="5" s="1"/>
  <c r="BG297" i="5"/>
  <c r="BL297" i="5" s="1"/>
  <c r="BH297" i="5"/>
  <c r="BM297" i="5" s="1"/>
  <c r="BH103" i="5"/>
  <c r="BM103" i="5" s="1"/>
  <c r="BG103" i="5"/>
  <c r="BL103" i="5" s="1"/>
  <c r="BH361" i="5"/>
  <c r="BM361" i="5" s="1"/>
  <c r="BG361" i="5"/>
  <c r="BL361" i="5" s="1"/>
  <c r="BG52" i="5"/>
  <c r="BL52" i="5" s="1"/>
  <c r="BH52" i="5"/>
  <c r="BM52" i="5" s="1"/>
  <c r="BH436" i="5"/>
  <c r="BM436" i="5" s="1"/>
  <c r="BG436" i="5"/>
  <c r="BL436" i="5" s="1"/>
  <c r="BG197" i="5"/>
  <c r="BL197" i="5" s="1"/>
  <c r="BH197" i="5"/>
  <c r="BM197" i="5" s="1"/>
  <c r="BG101" i="5"/>
  <c r="BL101" i="5" s="1"/>
  <c r="BH101" i="5"/>
  <c r="BM101" i="5" s="1"/>
  <c r="BG496" i="5"/>
  <c r="BL496" i="5" s="1"/>
  <c r="BH496" i="5"/>
  <c r="BM496" i="5" s="1"/>
  <c r="BG159" i="5"/>
  <c r="BL159" i="5" s="1"/>
  <c r="BH159" i="5"/>
  <c r="BM159" i="5" s="1"/>
  <c r="BG339" i="5"/>
  <c r="BL339" i="5" s="1"/>
  <c r="BH339" i="5"/>
  <c r="BM339" i="5" s="1"/>
  <c r="BG328" i="5"/>
  <c r="BL328" i="5" s="1"/>
  <c r="BH328" i="5"/>
  <c r="BM328" i="5" s="1"/>
  <c r="BD11" i="5"/>
  <c r="BE11" i="5"/>
  <c r="BG310" i="5"/>
  <c r="BL310" i="5" s="1"/>
  <c r="BH310" i="5"/>
  <c r="BM310" i="5" s="1"/>
  <c r="BG189" i="5"/>
  <c r="BL189" i="5" s="1"/>
  <c r="BH189" i="5"/>
  <c r="BM189" i="5" s="1"/>
  <c r="BG548" i="5"/>
  <c r="BL548" i="5" s="1"/>
  <c r="BH548" i="5"/>
  <c r="BM548" i="5" s="1"/>
  <c r="BG359" i="5"/>
  <c r="BL359" i="5" s="1"/>
  <c r="BH359" i="5"/>
  <c r="BM359" i="5" s="1"/>
  <c r="BG394" i="5"/>
  <c r="BL394" i="5" s="1"/>
  <c r="BH394" i="5"/>
  <c r="BM394" i="5" s="1"/>
  <c r="BG472" i="5"/>
  <c r="BL472" i="5" s="1"/>
  <c r="BH472" i="5"/>
  <c r="BM472" i="5" s="1"/>
  <c r="BG25" i="5"/>
  <c r="BL25" i="5" s="1"/>
  <c r="BH25" i="5"/>
  <c r="BM25" i="5" s="1"/>
  <c r="BG483" i="5"/>
  <c r="BL483" i="5" s="1"/>
  <c r="BH483" i="5"/>
  <c r="BM483" i="5" s="1"/>
  <c r="BH378" i="5"/>
  <c r="BM378" i="5" s="1"/>
  <c r="BG378" i="5"/>
  <c r="BL378" i="5" s="1"/>
  <c r="BH474" i="5"/>
  <c r="BM474" i="5" s="1"/>
  <c r="BG474" i="5"/>
  <c r="BL474" i="5" s="1"/>
  <c r="BH83" i="5"/>
  <c r="BM83" i="5" s="1"/>
  <c r="BG83" i="5"/>
  <c r="BL83" i="5" s="1"/>
  <c r="BH507" i="5"/>
  <c r="BM507" i="5" s="1"/>
  <c r="BG507" i="5"/>
  <c r="BL507" i="5" s="1"/>
  <c r="BG76" i="5"/>
  <c r="BL76" i="5" s="1"/>
  <c r="BH76" i="5"/>
  <c r="BM76" i="5" s="1"/>
  <c r="BH533" i="5"/>
  <c r="BM533" i="5" s="1"/>
  <c r="BG533" i="5"/>
  <c r="BL533" i="5" s="1"/>
  <c r="BG246" i="5"/>
  <c r="BL246" i="5" s="1"/>
  <c r="BH246" i="5"/>
  <c r="BM246" i="5" s="1"/>
  <c r="BG506" i="5"/>
  <c r="BL506" i="5" s="1"/>
  <c r="BH506" i="5"/>
  <c r="BM506" i="5" s="1"/>
  <c r="BG31" i="5"/>
  <c r="BL31" i="5" s="1"/>
  <c r="BH31" i="5"/>
  <c r="BM31" i="5" s="1"/>
  <c r="BG98" i="5"/>
  <c r="BL98" i="5" s="1"/>
  <c r="BH98" i="5"/>
  <c r="BM98" i="5" s="1"/>
  <c r="BG225" i="5"/>
  <c r="BL225" i="5" s="1"/>
  <c r="BH225" i="5"/>
  <c r="BM225" i="5" s="1"/>
  <c r="BH363" i="5"/>
  <c r="BM363" i="5" s="1"/>
  <c r="BG363" i="5"/>
  <c r="BL363" i="5" s="1"/>
  <c r="BH226" i="5"/>
  <c r="BM226" i="5" s="1"/>
  <c r="BG226" i="5"/>
  <c r="BL226" i="5" s="1"/>
  <c r="BG550" i="5"/>
  <c r="BL550" i="5" s="1"/>
  <c r="BH550" i="5"/>
  <c r="BM550" i="5" s="1"/>
  <c r="BH489" i="5"/>
  <c r="BM489" i="5" s="1"/>
  <c r="BG489" i="5"/>
  <c r="BL489" i="5" s="1"/>
  <c r="BH438" i="5"/>
  <c r="BM438" i="5" s="1"/>
  <c r="BG438" i="5"/>
  <c r="BL438" i="5" s="1"/>
  <c r="BH466" i="5"/>
  <c r="BM466" i="5" s="1"/>
  <c r="BG466" i="5"/>
  <c r="BL466" i="5" s="1"/>
  <c r="AQ11" i="5"/>
  <c r="BI11" i="5"/>
  <c r="AR11" i="5"/>
  <c r="BH527" i="5"/>
  <c r="BM527" i="5" s="1"/>
  <c r="BG527" i="5"/>
  <c r="BL527" i="5" s="1"/>
  <c r="BG302" i="5"/>
  <c r="BL302" i="5" s="1"/>
  <c r="BH302" i="5"/>
  <c r="BM302" i="5" s="1"/>
  <c r="BH78" i="5"/>
  <c r="BM78" i="5" s="1"/>
  <c r="BG78" i="5"/>
  <c r="BL78" i="5" s="1"/>
  <c r="BH82" i="5"/>
  <c r="BM82" i="5" s="1"/>
  <c r="BG82" i="5"/>
  <c r="BL82" i="5" s="1"/>
  <c r="BH353" i="5"/>
  <c r="BM353" i="5" s="1"/>
  <c r="BG353" i="5"/>
  <c r="BL353" i="5" s="1"/>
  <c r="BG209" i="5"/>
  <c r="BL209" i="5" s="1"/>
  <c r="BH209" i="5"/>
  <c r="BM209" i="5" s="1"/>
  <c r="BH19" i="5"/>
  <c r="BM19" i="5" s="1"/>
  <c r="BG19" i="5"/>
  <c r="BL19" i="5" s="1"/>
  <c r="BG374" i="5"/>
  <c r="BL374" i="5" s="1"/>
  <c r="BH374" i="5"/>
  <c r="BM374" i="5" s="1"/>
  <c r="BH105" i="5"/>
  <c r="BM105" i="5" s="1"/>
  <c r="BG105" i="5"/>
  <c r="BL105" i="5" s="1"/>
  <c r="BG303" i="5"/>
  <c r="BL303" i="5" s="1"/>
  <c r="BH303" i="5"/>
  <c r="BM303" i="5" s="1"/>
  <c r="BG47" i="5"/>
  <c r="BL47" i="5" s="1"/>
  <c r="BH47" i="5"/>
  <c r="BM47" i="5" s="1"/>
  <c r="BH322" i="5"/>
  <c r="BM322" i="5" s="1"/>
  <c r="BG322" i="5"/>
  <c r="BL322" i="5" s="1"/>
  <c r="BG258" i="5"/>
  <c r="BL258" i="5" s="1"/>
  <c r="BH258" i="5"/>
  <c r="BM258" i="5" s="1"/>
  <c r="BG270" i="5"/>
  <c r="BL270" i="5" s="1"/>
  <c r="BH270" i="5"/>
  <c r="BM270" i="5" s="1"/>
  <c r="BG176" i="5"/>
  <c r="BL176" i="5" s="1"/>
  <c r="BH176" i="5"/>
  <c r="BM176" i="5" s="1"/>
  <c r="BH508" i="5"/>
  <c r="BM508" i="5" s="1"/>
  <c r="BG508" i="5"/>
  <c r="BL508" i="5" s="1"/>
  <c r="BG414" i="5"/>
  <c r="BL414" i="5" s="1"/>
  <c r="BH414" i="5"/>
  <c r="BM414" i="5" s="1"/>
  <c r="BH230" i="5"/>
  <c r="BM230" i="5" s="1"/>
  <c r="BG230" i="5"/>
  <c r="BL230" i="5" s="1"/>
  <c r="BH509" i="5"/>
  <c r="BM509" i="5" s="1"/>
  <c r="BG509" i="5"/>
  <c r="BL509" i="5" s="1"/>
  <c r="BG292" i="5"/>
  <c r="BL292" i="5" s="1"/>
  <c r="BH292" i="5"/>
  <c r="BM292" i="5" s="1"/>
  <c r="BG446" i="5"/>
  <c r="BL446" i="5" s="1"/>
  <c r="BH446" i="5"/>
  <c r="BM446" i="5" s="1"/>
  <c r="BH422" i="5"/>
  <c r="BM422" i="5" s="1"/>
  <c r="BG422" i="5"/>
  <c r="BL422" i="5" s="1"/>
  <c r="BG43" i="5"/>
  <c r="BL43" i="5" s="1"/>
  <c r="BH43" i="5"/>
  <c r="BM43" i="5" s="1"/>
  <c r="BG91" i="5"/>
  <c r="BL91" i="5" s="1"/>
  <c r="BH91" i="5"/>
  <c r="BM91" i="5" s="1"/>
  <c r="BH37" i="5"/>
  <c r="BM37" i="5" s="1"/>
  <c r="BG37" i="5"/>
  <c r="BL37" i="5" s="1"/>
  <c r="BH248" i="5"/>
  <c r="BM248" i="5" s="1"/>
  <c r="BG248" i="5"/>
  <c r="BL248" i="5" s="1"/>
  <c r="BH529" i="5"/>
  <c r="BM529" i="5" s="1"/>
  <c r="BG529" i="5"/>
  <c r="BL529" i="5" s="1"/>
  <c r="BG354" i="5"/>
  <c r="BL354" i="5" s="1"/>
  <c r="BH354" i="5"/>
  <c r="BM354" i="5" s="1"/>
  <c r="BH255" i="5"/>
  <c r="BM255" i="5" s="1"/>
  <c r="BG255" i="5"/>
  <c r="BL255" i="5" s="1"/>
  <c r="BG121" i="5"/>
  <c r="BL121" i="5" s="1"/>
  <c r="BH121" i="5"/>
  <c r="BM121" i="5" s="1"/>
  <c r="BH124" i="5"/>
  <c r="BM124" i="5" s="1"/>
  <c r="BG124" i="5"/>
  <c r="BL124" i="5" s="1"/>
  <c r="BG402" i="5"/>
  <c r="BL402" i="5" s="1"/>
  <c r="BH402" i="5"/>
  <c r="BM402" i="5" s="1"/>
  <c r="BH324" i="5"/>
  <c r="BM324" i="5" s="1"/>
  <c r="BG324" i="5"/>
  <c r="BL324" i="5" s="1"/>
  <c r="BG283" i="5"/>
  <c r="BL283" i="5" s="1"/>
  <c r="BH283" i="5"/>
  <c r="BM283" i="5" s="1"/>
  <c r="BG251" i="5"/>
  <c r="BL251" i="5" s="1"/>
  <c r="BH251" i="5"/>
  <c r="BM251" i="5" s="1"/>
  <c r="BG291" i="5"/>
  <c r="BL291" i="5" s="1"/>
  <c r="BH291" i="5"/>
  <c r="BM291" i="5" s="1"/>
  <c r="BG343" i="5"/>
  <c r="BL343" i="5" s="1"/>
  <c r="BH343" i="5"/>
  <c r="BM343" i="5" s="1"/>
  <c r="BG65" i="5"/>
  <c r="BL65" i="5" s="1"/>
  <c r="BH65" i="5"/>
  <c r="BM65" i="5" s="1"/>
  <c r="BH331" i="5"/>
  <c r="BM331" i="5" s="1"/>
  <c r="BG331" i="5"/>
  <c r="BL331" i="5" s="1"/>
  <c r="BG316" i="5"/>
  <c r="BL316" i="5" s="1"/>
  <c r="BH316" i="5"/>
  <c r="BM316" i="5" s="1"/>
  <c r="BG522" i="5"/>
  <c r="BL522" i="5" s="1"/>
  <c r="BH522" i="5"/>
  <c r="BM522" i="5" s="1"/>
  <c r="BG70" i="5"/>
  <c r="BL70" i="5" s="1"/>
  <c r="BH70" i="5"/>
  <c r="BM70" i="5" s="1"/>
  <c r="BH12" i="5"/>
  <c r="BM12" i="5" s="1"/>
  <c r="BG12" i="5"/>
  <c r="BL12" i="5" s="1"/>
  <c r="BG186" i="5"/>
  <c r="BL186" i="5" s="1"/>
  <c r="BH186" i="5"/>
  <c r="BM186" i="5" s="1"/>
  <c r="BG66" i="5"/>
  <c r="BL66" i="5" s="1"/>
  <c r="BH66" i="5"/>
  <c r="BM66" i="5" s="1"/>
  <c r="BG325" i="5"/>
  <c r="BL325" i="5" s="1"/>
  <c r="BH325" i="5"/>
  <c r="BM325" i="5" s="1"/>
  <c r="BG268" i="5"/>
  <c r="BL268" i="5" s="1"/>
  <c r="BH268" i="5"/>
  <c r="BM268" i="5" s="1"/>
  <c r="BG217" i="5"/>
  <c r="BL217" i="5" s="1"/>
  <c r="BH217" i="5"/>
  <c r="BM217" i="5" s="1"/>
  <c r="BG430" i="5"/>
  <c r="BL430" i="5" s="1"/>
  <c r="BH430" i="5"/>
  <c r="BM430" i="5" s="1"/>
  <c r="BH410" i="5"/>
  <c r="BM410" i="5" s="1"/>
  <c r="BG410" i="5"/>
  <c r="BL410" i="5" s="1"/>
  <c r="BG534" i="5"/>
  <c r="BL534" i="5" s="1"/>
  <c r="BH534" i="5"/>
  <c r="BM534" i="5" s="1"/>
  <c r="BH202" i="5"/>
  <c r="BM202" i="5" s="1"/>
  <c r="BG202" i="5"/>
  <c r="BL202" i="5" s="1"/>
  <c r="BG498" i="5"/>
  <c r="BL498" i="5" s="1"/>
  <c r="BH498" i="5"/>
  <c r="BM498" i="5" s="1"/>
  <c r="BG40" i="5"/>
  <c r="BL40" i="5" s="1"/>
  <c r="BH40" i="5"/>
  <c r="BM40" i="5" s="1"/>
  <c r="BG109" i="5"/>
  <c r="BL109" i="5" s="1"/>
  <c r="BH109" i="5"/>
  <c r="BM109" i="5" s="1"/>
  <c r="BG504" i="5"/>
  <c r="BL504" i="5" s="1"/>
  <c r="BH504" i="5"/>
  <c r="BM504" i="5" s="1"/>
  <c r="BG256" i="5"/>
  <c r="BL256" i="5" s="1"/>
  <c r="BH256" i="5"/>
  <c r="BM256" i="5" s="1"/>
  <c r="BH172" i="5"/>
  <c r="BM172" i="5" s="1"/>
  <c r="BG172" i="5"/>
  <c r="BL172" i="5" s="1"/>
  <c r="BH348" i="5"/>
  <c r="BM348" i="5" s="1"/>
  <c r="BG348" i="5"/>
  <c r="BL348" i="5" s="1"/>
  <c r="BH218" i="5"/>
  <c r="BM218" i="5" s="1"/>
  <c r="BG218" i="5"/>
  <c r="BL218" i="5" s="1"/>
  <c r="BG392" i="5"/>
  <c r="BL392" i="5" s="1"/>
  <c r="BH392" i="5"/>
  <c r="BM392" i="5" s="1"/>
  <c r="BH250" i="5"/>
  <c r="BM250" i="5" s="1"/>
  <c r="BG250" i="5"/>
  <c r="BL250" i="5" s="1"/>
  <c r="BH321" i="5"/>
  <c r="BM321" i="5" s="1"/>
  <c r="BG321" i="5"/>
  <c r="BL321" i="5" s="1"/>
  <c r="BG168" i="5"/>
  <c r="BL168" i="5" s="1"/>
  <c r="BH168" i="5"/>
  <c r="BM168" i="5" s="1"/>
  <c r="BG477" i="5"/>
  <c r="BL477" i="5" s="1"/>
  <c r="BH477" i="5"/>
  <c r="BM477" i="5" s="1"/>
  <c r="BG231" i="5"/>
  <c r="BL231" i="5" s="1"/>
  <c r="BH231" i="5"/>
  <c r="BM231" i="5" s="1"/>
  <c r="BH482" i="5"/>
  <c r="BM482" i="5" s="1"/>
  <c r="BG482" i="5"/>
  <c r="BL482" i="5" s="1"/>
  <c r="BG429" i="5"/>
  <c r="BL429" i="5" s="1"/>
  <c r="BH429" i="5"/>
  <c r="BM429" i="5" s="1"/>
  <c r="BG254" i="5"/>
  <c r="BL254" i="5" s="1"/>
  <c r="BH254" i="5"/>
  <c r="BM254" i="5" s="1"/>
  <c r="BH92" i="5"/>
  <c r="BM92" i="5" s="1"/>
  <c r="BG92" i="5"/>
  <c r="BL92" i="5" s="1"/>
  <c r="BG228" i="5"/>
  <c r="BL228" i="5" s="1"/>
  <c r="BH228" i="5"/>
  <c r="BM228" i="5" s="1"/>
  <c r="BH173" i="5"/>
  <c r="BM173" i="5" s="1"/>
  <c r="BG173" i="5"/>
  <c r="BL173" i="5" s="1"/>
  <c r="BG288" i="5"/>
  <c r="BL288" i="5" s="1"/>
  <c r="BH288" i="5"/>
  <c r="BM288" i="5" s="1"/>
  <c r="BH128" i="5"/>
  <c r="BM128" i="5" s="1"/>
  <c r="BG128" i="5"/>
  <c r="BL128" i="5" s="1"/>
  <c r="BH207" i="5"/>
  <c r="BM207" i="5" s="1"/>
  <c r="BG207" i="5"/>
  <c r="BL207" i="5" s="1"/>
  <c r="BG279" i="5"/>
  <c r="BL279" i="5" s="1"/>
  <c r="BH279" i="5"/>
  <c r="BM279" i="5" s="1"/>
  <c r="BG437" i="5"/>
  <c r="BL437" i="5" s="1"/>
  <c r="BH437" i="5"/>
  <c r="BM437" i="5" s="1"/>
  <c r="BG334" i="5"/>
  <c r="BL334" i="5" s="1"/>
  <c r="BH334" i="5"/>
  <c r="BM334" i="5" s="1"/>
  <c r="BG552" i="5"/>
  <c r="BL552" i="5" s="1"/>
  <c r="BH552" i="5"/>
  <c r="BM552" i="5" s="1"/>
  <c r="BG104" i="5"/>
  <c r="BL104" i="5" s="1"/>
  <c r="BH104" i="5"/>
  <c r="BM104" i="5" s="1"/>
  <c r="BG531" i="5"/>
  <c r="BL531" i="5" s="1"/>
  <c r="BH531" i="5"/>
  <c r="BM531" i="5" s="1"/>
  <c r="BG38" i="5"/>
  <c r="BL38" i="5" s="1"/>
  <c r="BH38" i="5"/>
  <c r="BM38" i="5" s="1"/>
  <c r="BH97" i="5"/>
  <c r="BM97" i="5" s="1"/>
  <c r="BG97" i="5"/>
  <c r="BL97" i="5" s="1"/>
  <c r="BH96" i="5"/>
  <c r="BM96" i="5" s="1"/>
  <c r="BG96" i="5"/>
  <c r="BL96" i="5" s="1"/>
  <c r="BH26" i="5"/>
  <c r="BM26" i="5" s="1"/>
  <c r="BG26" i="5"/>
  <c r="BL26" i="5" s="1"/>
  <c r="BG183" i="5"/>
  <c r="BL183" i="5" s="1"/>
  <c r="BH183" i="5"/>
  <c r="BM183" i="5" s="1"/>
  <c r="BH559" i="5"/>
  <c r="BM559" i="5" s="1"/>
  <c r="BG559" i="5"/>
  <c r="BL559" i="5" s="1"/>
  <c r="BH39" i="5"/>
  <c r="BM39" i="5" s="1"/>
  <c r="BG39" i="5"/>
  <c r="BL39" i="5" s="1"/>
  <c r="BH517" i="5"/>
  <c r="BM517" i="5" s="1"/>
  <c r="BG517" i="5"/>
  <c r="BL517" i="5" s="1"/>
  <c r="BH99" i="5"/>
  <c r="BM99" i="5" s="1"/>
  <c r="BG99" i="5"/>
  <c r="BL99" i="5" s="1"/>
  <c r="BG525" i="5"/>
  <c r="BL525" i="5" s="1"/>
  <c r="BH525" i="5"/>
  <c r="BM525" i="5" s="1"/>
  <c r="BG59" i="5"/>
  <c r="BL59" i="5" s="1"/>
  <c r="BH59" i="5"/>
  <c r="BM59" i="5" s="1"/>
  <c r="BG169" i="5"/>
  <c r="BL169" i="5" s="1"/>
  <c r="BH169" i="5"/>
  <c r="BM169" i="5" s="1"/>
  <c r="BG146" i="5"/>
  <c r="BL146" i="5" s="1"/>
  <c r="BH146" i="5"/>
  <c r="BM146" i="5" s="1"/>
  <c r="BH274" i="5"/>
  <c r="BM274" i="5" s="1"/>
  <c r="BG274" i="5"/>
  <c r="BL274" i="5" s="1"/>
  <c r="BH523" i="5"/>
  <c r="BM523" i="5" s="1"/>
  <c r="BG523" i="5"/>
  <c r="BL523" i="5" s="1"/>
  <c r="BG229" i="5"/>
  <c r="BL229" i="5" s="1"/>
  <c r="BH229" i="5"/>
  <c r="BM229" i="5" s="1"/>
  <c r="BH495" i="5"/>
  <c r="BM495" i="5" s="1"/>
  <c r="BG495" i="5"/>
  <c r="BL495" i="5" s="1"/>
  <c r="BH329" i="5"/>
  <c r="BM329" i="5" s="1"/>
  <c r="BG329" i="5"/>
  <c r="BL329" i="5" s="1"/>
  <c r="BH554" i="5"/>
  <c r="BM554" i="5" s="1"/>
  <c r="BG554" i="5"/>
  <c r="BL554" i="5" s="1"/>
  <c r="BG75" i="5"/>
  <c r="BL75" i="5" s="1"/>
  <c r="BH75" i="5"/>
  <c r="BM75" i="5" s="1"/>
  <c r="BH546" i="5"/>
  <c r="BM546" i="5" s="1"/>
  <c r="BG546" i="5"/>
  <c r="BL546" i="5" s="1"/>
  <c r="BH484" i="5"/>
  <c r="BM484" i="5" s="1"/>
  <c r="BG484" i="5"/>
  <c r="BL484" i="5" s="1"/>
  <c r="BH174" i="5"/>
  <c r="BM174" i="5" s="1"/>
  <c r="BG174" i="5"/>
  <c r="BL174" i="5" s="1"/>
  <c r="BH471" i="5"/>
  <c r="BM471" i="5" s="1"/>
  <c r="BG471" i="5"/>
  <c r="BL471" i="5" s="1"/>
  <c r="BH199" i="5"/>
  <c r="BM199" i="5" s="1"/>
  <c r="BG199" i="5"/>
  <c r="BL199" i="5" s="1"/>
  <c r="BG433" i="5"/>
  <c r="BL433" i="5" s="1"/>
  <c r="BH433" i="5"/>
  <c r="BM433" i="5" s="1"/>
  <c r="BG333" i="5"/>
  <c r="BL333" i="5" s="1"/>
  <c r="BH333" i="5"/>
  <c r="BM333" i="5" s="1"/>
  <c r="BH95" i="5"/>
  <c r="BM95" i="5" s="1"/>
  <c r="BG95" i="5"/>
  <c r="BL95" i="5" s="1"/>
  <c r="BG51" i="5"/>
  <c r="BL51" i="5" s="1"/>
  <c r="BH51" i="5"/>
  <c r="BM51" i="5" s="1"/>
  <c r="BH161" i="5"/>
  <c r="BM161" i="5" s="1"/>
  <c r="BG161" i="5"/>
  <c r="BL161" i="5" s="1"/>
  <c r="BH240" i="5"/>
  <c r="BM240" i="5" s="1"/>
  <c r="BG240" i="5"/>
  <c r="BL240" i="5" s="1"/>
  <c r="BH492" i="5"/>
  <c r="BM492" i="5" s="1"/>
  <c r="BG492" i="5"/>
  <c r="BL492" i="5" s="1"/>
  <c r="BG403" i="5"/>
  <c r="BL403" i="5" s="1"/>
  <c r="BH403" i="5"/>
  <c r="BM403" i="5" s="1"/>
  <c r="BH475" i="5"/>
  <c r="BM475" i="5" s="1"/>
  <c r="BG475" i="5"/>
  <c r="BL475" i="5" s="1"/>
  <c r="BH213" i="5"/>
  <c r="BM213" i="5" s="1"/>
  <c r="BG213" i="5"/>
  <c r="BL213" i="5" s="1"/>
  <c r="BH49" i="5"/>
  <c r="BM49" i="5" s="1"/>
  <c r="BG49" i="5"/>
  <c r="BL49" i="5" s="1"/>
  <c r="BH281" i="5"/>
  <c r="BM281" i="5" s="1"/>
  <c r="BG281" i="5"/>
  <c r="BL281" i="5" s="1"/>
  <c r="BG382" i="5"/>
  <c r="BL382" i="5" s="1"/>
  <c r="BH382" i="5"/>
  <c r="BM382" i="5" s="1"/>
  <c r="BH257" i="5"/>
  <c r="BM257" i="5" s="1"/>
  <c r="BG257" i="5"/>
  <c r="BL257" i="5" s="1"/>
  <c r="BG390" i="5"/>
  <c r="BL390" i="5" s="1"/>
  <c r="BH390" i="5"/>
  <c r="BM390" i="5" s="1"/>
  <c r="BG463" i="5"/>
  <c r="BL463" i="5" s="1"/>
  <c r="BH463" i="5"/>
  <c r="BM463" i="5" s="1"/>
  <c r="BG379" i="5"/>
  <c r="BL379" i="5" s="1"/>
  <c r="BH379" i="5"/>
  <c r="BM379" i="5" s="1"/>
  <c r="BG276" i="5"/>
  <c r="BL276" i="5" s="1"/>
  <c r="BH276" i="5"/>
  <c r="BM276" i="5" s="1"/>
  <c r="BG13" i="5"/>
  <c r="BL13" i="5" s="1"/>
  <c r="BH13" i="5"/>
  <c r="BM13" i="5" s="1"/>
  <c r="BH442" i="5"/>
  <c r="BM442" i="5" s="1"/>
  <c r="BG442" i="5"/>
  <c r="BL442" i="5" s="1"/>
  <c r="BH149" i="5"/>
  <c r="BM149" i="5" s="1"/>
  <c r="BG149" i="5"/>
  <c r="BL149" i="5" s="1"/>
  <c r="BH34" i="5"/>
  <c r="BM34" i="5" s="1"/>
  <c r="BG34" i="5"/>
  <c r="BL34" i="5" s="1"/>
  <c r="BH129" i="5"/>
  <c r="BM129" i="5" s="1"/>
  <c r="BG129" i="5"/>
  <c r="BL129" i="5" s="1"/>
  <c r="BH386" i="5"/>
  <c r="BM386" i="5" s="1"/>
  <c r="BG386" i="5"/>
  <c r="BL386" i="5" s="1"/>
  <c r="BH404" i="5"/>
  <c r="BM404" i="5" s="1"/>
  <c r="BG404" i="5"/>
  <c r="BL404" i="5" s="1"/>
  <c r="BH192" i="5"/>
  <c r="BM192" i="5" s="1"/>
  <c r="BG192" i="5"/>
  <c r="BL192" i="5" s="1"/>
  <c r="BG196" i="5"/>
  <c r="BL196" i="5" s="1"/>
  <c r="BH196" i="5"/>
  <c r="BM196" i="5" s="1"/>
  <c r="BG536" i="5"/>
  <c r="BL536" i="5" s="1"/>
  <c r="BH536" i="5"/>
  <c r="BM536" i="5" s="1"/>
  <c r="BG305" i="5"/>
  <c r="BL305" i="5" s="1"/>
  <c r="BH305" i="5"/>
  <c r="BM305" i="5" s="1"/>
  <c r="BH223" i="5"/>
  <c r="BM223" i="5" s="1"/>
  <c r="BG223" i="5"/>
  <c r="BL223" i="5" s="1"/>
  <c r="BH33" i="5"/>
  <c r="BM33" i="5" s="1"/>
  <c r="BG33" i="5"/>
  <c r="BL33" i="5" s="1"/>
  <c r="BG87" i="5"/>
  <c r="BL87" i="5" s="1"/>
  <c r="BH87" i="5"/>
  <c r="BM87" i="5" s="1"/>
  <c r="BH341" i="5"/>
  <c r="BM341" i="5" s="1"/>
  <c r="BG341" i="5"/>
  <c r="BL341" i="5" s="1"/>
  <c r="BH133" i="5"/>
  <c r="BM133" i="5" s="1"/>
  <c r="BG133" i="5"/>
  <c r="BL133" i="5" s="1"/>
  <c r="BG356" i="5"/>
  <c r="BL356" i="5" s="1"/>
  <c r="BH356" i="5"/>
  <c r="BM356" i="5" s="1"/>
  <c r="BG371" i="5"/>
  <c r="BL371" i="5" s="1"/>
  <c r="BH371" i="5"/>
  <c r="BM371" i="5" s="1"/>
  <c r="BG460" i="5"/>
  <c r="BL460" i="5" s="1"/>
  <c r="BH460" i="5"/>
  <c r="BM460" i="5" s="1"/>
  <c r="BG395" i="5"/>
  <c r="BL395" i="5" s="1"/>
  <c r="BH395" i="5"/>
  <c r="BM395" i="5" s="1"/>
  <c r="BH407" i="5"/>
  <c r="BM407" i="5" s="1"/>
  <c r="BG407" i="5"/>
  <c r="BL407" i="5" s="1"/>
  <c r="BH505" i="5"/>
  <c r="BM505" i="5" s="1"/>
  <c r="BG505" i="5"/>
  <c r="BL505" i="5" s="1"/>
  <c r="BG393" i="5"/>
  <c r="BL393" i="5" s="1"/>
  <c r="BH393" i="5"/>
  <c r="BM393" i="5" s="1"/>
  <c r="BG352" i="5"/>
  <c r="BL352" i="5" s="1"/>
  <c r="BH352" i="5"/>
  <c r="BM352" i="5" s="1"/>
  <c r="BG282" i="5"/>
  <c r="BL282" i="5" s="1"/>
  <c r="BH282" i="5"/>
  <c r="BM282" i="5" s="1"/>
  <c r="BG145" i="5"/>
  <c r="BL145" i="5" s="1"/>
  <c r="BH145" i="5"/>
  <c r="BM145" i="5" s="1"/>
  <c r="BG126" i="5"/>
  <c r="BL126" i="5" s="1"/>
  <c r="BH126" i="5"/>
  <c r="BM126" i="5" s="1"/>
  <c r="BH85" i="5"/>
  <c r="BM85" i="5" s="1"/>
  <c r="BG85" i="5"/>
  <c r="BL85" i="5" s="1"/>
  <c r="BH311" i="5"/>
  <c r="BM311" i="5" s="1"/>
  <c r="BG311" i="5"/>
  <c r="BL311" i="5" s="1"/>
  <c r="BG58" i="5"/>
  <c r="BL58" i="5" s="1"/>
  <c r="BH58" i="5"/>
  <c r="BM58" i="5" s="1"/>
  <c r="BH423" i="5"/>
  <c r="BM423" i="5" s="1"/>
  <c r="BG423" i="5"/>
  <c r="BL423" i="5" s="1"/>
  <c r="BG71" i="5"/>
  <c r="BL71" i="5" s="1"/>
  <c r="BH71" i="5"/>
  <c r="BM71" i="5" s="1"/>
  <c r="BG553" i="5"/>
  <c r="BL553" i="5" s="1"/>
  <c r="BH553" i="5"/>
  <c r="BM553" i="5" s="1"/>
  <c r="BG221" i="5"/>
  <c r="BL221" i="5" s="1"/>
  <c r="BH221" i="5"/>
  <c r="BM221" i="5" s="1"/>
  <c r="BG278" i="5"/>
  <c r="BL278" i="5" s="1"/>
  <c r="BH278" i="5"/>
  <c r="BM278" i="5" s="1"/>
  <c r="BH376" i="5"/>
  <c r="BM376" i="5" s="1"/>
  <c r="BG376" i="5"/>
  <c r="BL376" i="5" s="1"/>
  <c r="BG499" i="5"/>
  <c r="BL499" i="5" s="1"/>
  <c r="BH499" i="5"/>
  <c r="BM499" i="5" s="1"/>
  <c r="BG408" i="5"/>
  <c r="BL408" i="5" s="1"/>
  <c r="BH408" i="5"/>
  <c r="BM408" i="5" s="1"/>
  <c r="BG373" i="5"/>
  <c r="BL373" i="5" s="1"/>
  <c r="BH373" i="5"/>
  <c r="BM373" i="5" s="1"/>
  <c r="BG119" i="5"/>
  <c r="BL119" i="5" s="1"/>
  <c r="BH119" i="5"/>
  <c r="BM119" i="5" s="1"/>
  <c r="BG272" i="5"/>
  <c r="BL272" i="5" s="1"/>
  <c r="BH272" i="5"/>
  <c r="BM272" i="5" s="1"/>
  <c r="BG64" i="5"/>
  <c r="BL64" i="5" s="1"/>
  <c r="BH64" i="5"/>
  <c r="BM64" i="5" s="1"/>
  <c r="BG180" i="5"/>
  <c r="BL180" i="5" s="1"/>
  <c r="BH180" i="5"/>
  <c r="BM180" i="5" s="1"/>
  <c r="BG179" i="5"/>
  <c r="BL179" i="5" s="1"/>
  <c r="BH179" i="5"/>
  <c r="BM179" i="5" s="1"/>
  <c r="BH216" i="5"/>
  <c r="BM216" i="5" s="1"/>
  <c r="BG216" i="5"/>
  <c r="BL216" i="5" s="1"/>
  <c r="BG23" i="5"/>
  <c r="BL23" i="5" s="1"/>
  <c r="BH23" i="5"/>
  <c r="BM23" i="5" s="1"/>
  <c r="BG267" i="5"/>
  <c r="BL267" i="5" s="1"/>
  <c r="BH267" i="5"/>
  <c r="BM267" i="5" s="1"/>
  <c r="BH449" i="5"/>
  <c r="BM449" i="5" s="1"/>
  <c r="BG449" i="5"/>
  <c r="BL449" i="5" s="1"/>
  <c r="BG457" i="5"/>
  <c r="BL457" i="5" s="1"/>
  <c r="BH457" i="5"/>
  <c r="BM457" i="5" s="1"/>
  <c r="BH162" i="5"/>
  <c r="BM162" i="5" s="1"/>
  <c r="BG162" i="5"/>
  <c r="BL162" i="5" s="1"/>
  <c r="BG473" i="5"/>
  <c r="BL473" i="5" s="1"/>
  <c r="BH473" i="5"/>
  <c r="BM473" i="5" s="1"/>
  <c r="BG421" i="5"/>
  <c r="BL421" i="5" s="1"/>
  <c r="BH421" i="5"/>
  <c r="BM421" i="5" s="1"/>
  <c r="BH415" i="5"/>
  <c r="BM415" i="5" s="1"/>
  <c r="BG415" i="5"/>
  <c r="BL415" i="5" s="1"/>
  <c r="BG280" i="5"/>
  <c r="BL280" i="5" s="1"/>
  <c r="BH280" i="5"/>
  <c r="BM280" i="5" s="1"/>
  <c r="BG490" i="5"/>
  <c r="BL490" i="5" s="1"/>
  <c r="BH490" i="5"/>
  <c r="BM490" i="5" s="1"/>
  <c r="BG480" i="5"/>
  <c r="BL480" i="5" s="1"/>
  <c r="BH480" i="5"/>
  <c r="BM480" i="5" s="1"/>
  <c r="BH156" i="5"/>
  <c r="BM156" i="5" s="1"/>
  <c r="BG156" i="5"/>
  <c r="BL156" i="5" s="1"/>
  <c r="BH289" i="5"/>
  <c r="BM289" i="5" s="1"/>
  <c r="BG289" i="5"/>
  <c r="BL289" i="5" s="1"/>
  <c r="BG551" i="5"/>
  <c r="BL551" i="5" s="1"/>
  <c r="BH551" i="5"/>
  <c r="BM551" i="5" s="1"/>
  <c r="BG309" i="5"/>
  <c r="BL309" i="5" s="1"/>
  <c r="BH309" i="5"/>
  <c r="BM309" i="5" s="1"/>
  <c r="BG10" i="5"/>
  <c r="BL10" i="5" s="1"/>
  <c r="BH10" i="5"/>
  <c r="BM10" i="5" s="1"/>
  <c r="BG259" i="5"/>
  <c r="BL259" i="5" s="1"/>
  <c r="BH259" i="5"/>
  <c r="BM259" i="5" s="1"/>
  <c r="BG396" i="5"/>
  <c r="BL396" i="5" s="1"/>
  <c r="BH396" i="5"/>
  <c r="BM396" i="5" s="1"/>
  <c r="BH296" i="5"/>
  <c r="BM296" i="5" s="1"/>
  <c r="BG296" i="5"/>
  <c r="BL296" i="5" s="1"/>
  <c r="BH55" i="5"/>
  <c r="BM55" i="5" s="1"/>
  <c r="BG55" i="5"/>
  <c r="BL55" i="5" s="1"/>
  <c r="BG194" i="5"/>
  <c r="BL194" i="5" s="1"/>
  <c r="BH194" i="5"/>
  <c r="BM194" i="5" s="1"/>
  <c r="BH543" i="5"/>
  <c r="BM543" i="5" s="1"/>
  <c r="BG543" i="5"/>
  <c r="BL543" i="5" s="1"/>
  <c r="BH332" i="5"/>
  <c r="BM332" i="5" s="1"/>
  <c r="BG332" i="5"/>
  <c r="BL332" i="5" s="1"/>
  <c r="BH406" i="5"/>
  <c r="BM406" i="5" s="1"/>
  <c r="BG406" i="5"/>
  <c r="BL406" i="5" s="1"/>
  <c r="BH286" i="5"/>
  <c r="BM286" i="5" s="1"/>
  <c r="BG286" i="5"/>
  <c r="BL286" i="5" s="1"/>
  <c r="BH448" i="5"/>
  <c r="BM448" i="5" s="1"/>
  <c r="BG448" i="5"/>
  <c r="BL448" i="5" s="1"/>
  <c r="BG344" i="5"/>
  <c r="BL344" i="5" s="1"/>
  <c r="BH344" i="5"/>
  <c r="BM344" i="5" s="1"/>
  <c r="BH439" i="5"/>
  <c r="BM439" i="5" s="1"/>
  <c r="BG439" i="5"/>
  <c r="BL439" i="5" s="1"/>
  <c r="BH158" i="5"/>
  <c r="BM158" i="5" s="1"/>
  <c r="BG158" i="5"/>
  <c r="BL158" i="5" s="1"/>
  <c r="BG184" i="5"/>
  <c r="BL184" i="5" s="1"/>
  <c r="BH184" i="5"/>
  <c r="BM184" i="5" s="1"/>
  <c r="BG298" i="5"/>
  <c r="BL298" i="5" s="1"/>
  <c r="BH298" i="5"/>
  <c r="BM298" i="5" s="1"/>
  <c r="BG56" i="5"/>
  <c r="BL56" i="5" s="1"/>
  <c r="BH56" i="5"/>
  <c r="BM56" i="5" s="1"/>
  <c r="BH514" i="5"/>
  <c r="BM514" i="5" s="1"/>
  <c r="BG514" i="5"/>
  <c r="BL514" i="5" s="1"/>
  <c r="BH299" i="5"/>
  <c r="BM299" i="5" s="1"/>
  <c r="BG299" i="5"/>
  <c r="BL299" i="5" s="1"/>
  <c r="BH167" i="5"/>
  <c r="BM167" i="5" s="1"/>
  <c r="BG167" i="5"/>
  <c r="BL167" i="5" s="1"/>
  <c r="BG235" i="5"/>
  <c r="BL235" i="5" s="1"/>
  <c r="BH235" i="5"/>
  <c r="BM235" i="5" s="1"/>
  <c r="BG317" i="5"/>
  <c r="BL317" i="5" s="1"/>
  <c r="BH317" i="5"/>
  <c r="BM317" i="5" s="1"/>
  <c r="BG342" i="5"/>
  <c r="BL342" i="5" s="1"/>
  <c r="BH342" i="5"/>
  <c r="BM342" i="5" s="1"/>
  <c r="BG252" i="5"/>
  <c r="BL252" i="5" s="1"/>
  <c r="BH252" i="5"/>
  <c r="BM252" i="5" s="1"/>
  <c r="BH526" i="5"/>
  <c r="BM526" i="5" s="1"/>
  <c r="BG526" i="5"/>
  <c r="BL526" i="5" s="1"/>
  <c r="BH112" i="5"/>
  <c r="BM112" i="5" s="1"/>
  <c r="BG112" i="5"/>
  <c r="BL112" i="5" s="1"/>
  <c r="BG185" i="5"/>
  <c r="BL185" i="5" s="1"/>
  <c r="BH185" i="5"/>
  <c r="BM185" i="5" s="1"/>
  <c r="BG245" i="5"/>
  <c r="BL245" i="5" s="1"/>
  <c r="BH245" i="5"/>
  <c r="BM245" i="5" s="1"/>
  <c r="BG8" i="5"/>
  <c r="BL8" i="5" s="1"/>
  <c r="BH8" i="5"/>
  <c r="BM8" i="5" s="1"/>
  <c r="BG94" i="5"/>
  <c r="BL94" i="5" s="1"/>
  <c r="BH94" i="5"/>
  <c r="BM94" i="5" s="1"/>
  <c r="BG351" i="5"/>
  <c r="BL351" i="5" s="1"/>
  <c r="BH351" i="5"/>
  <c r="BM351" i="5" s="1"/>
  <c r="BG452" i="5"/>
  <c r="BL452" i="5" s="1"/>
  <c r="BH452" i="5"/>
  <c r="BM452" i="5" s="1"/>
  <c r="BH432" i="5"/>
  <c r="BM432" i="5" s="1"/>
  <c r="BG432" i="5"/>
  <c r="BL432" i="5" s="1"/>
  <c r="BG287" i="5"/>
  <c r="BL287" i="5" s="1"/>
  <c r="BH287" i="5"/>
  <c r="BM287" i="5" s="1"/>
  <c r="BH21" i="5"/>
  <c r="BM21" i="5" s="1"/>
  <c r="BG21" i="5"/>
  <c r="BL21" i="5" s="1"/>
  <c r="BG541" i="5"/>
  <c r="BL541" i="5" s="1"/>
  <c r="BH541" i="5"/>
  <c r="BM541" i="5" s="1"/>
  <c r="BH345" i="5"/>
  <c r="BM345" i="5" s="1"/>
  <c r="BG345" i="5"/>
  <c r="BL345" i="5" s="1"/>
  <c r="BH157" i="5"/>
  <c r="BM157" i="5" s="1"/>
  <c r="BG157" i="5"/>
  <c r="BL157" i="5" s="1"/>
  <c r="BH205" i="5"/>
  <c r="BM205" i="5" s="1"/>
  <c r="BG205" i="5"/>
  <c r="BL205" i="5" s="1"/>
  <c r="BH510" i="5"/>
  <c r="BM510" i="5" s="1"/>
  <c r="BG510" i="5"/>
  <c r="BL510" i="5" s="1"/>
  <c r="BG358" i="5"/>
  <c r="BL358" i="5" s="1"/>
  <c r="BH358" i="5"/>
  <c r="BM358" i="5" s="1"/>
  <c r="BH142" i="5"/>
  <c r="BM142" i="5" s="1"/>
  <c r="BG142" i="5"/>
  <c r="BL142" i="5" s="1"/>
  <c r="BG140" i="5"/>
  <c r="BL140" i="5" s="1"/>
  <c r="BH140" i="5"/>
  <c r="BM140" i="5" s="1"/>
  <c r="BH409" i="5"/>
  <c r="BM409" i="5" s="1"/>
  <c r="BG409" i="5"/>
  <c r="BL409" i="5" s="1"/>
  <c r="BH27" i="5"/>
  <c r="BM27" i="5" s="1"/>
  <c r="BG27" i="5"/>
  <c r="BL27" i="5" s="1"/>
  <c r="BH520" i="5"/>
  <c r="BM520" i="5" s="1"/>
  <c r="BG520" i="5"/>
  <c r="BL520" i="5" s="1"/>
  <c r="BH136" i="5"/>
  <c r="BM136" i="5" s="1"/>
  <c r="BG136" i="5"/>
  <c r="BL136" i="5" s="1"/>
  <c r="BG532" i="5"/>
  <c r="BL532" i="5" s="1"/>
  <c r="BH532" i="5"/>
  <c r="BM532" i="5" s="1"/>
  <c r="BH412" i="5"/>
  <c r="BM412" i="5" s="1"/>
  <c r="BG412" i="5"/>
  <c r="BL412" i="5" s="1"/>
  <c r="BG417" i="5"/>
  <c r="BL417" i="5" s="1"/>
  <c r="BH417" i="5"/>
  <c r="BM417" i="5" s="1"/>
  <c r="BH349" i="5"/>
  <c r="BM349" i="5" s="1"/>
  <c r="BG349" i="5"/>
  <c r="BL349" i="5" s="1"/>
  <c r="BG195" i="5"/>
  <c r="BL195" i="5" s="1"/>
  <c r="BH195" i="5"/>
  <c r="BM195" i="5" s="1"/>
  <c r="BG164" i="5"/>
  <c r="BL164" i="5" s="1"/>
  <c r="BH164" i="5"/>
  <c r="BM164" i="5" s="1"/>
  <c r="BG110" i="5"/>
  <c r="BL110" i="5" s="1"/>
  <c r="BH110" i="5"/>
  <c r="BM110" i="5" s="1"/>
  <c r="BH137" i="5"/>
  <c r="BM137" i="5" s="1"/>
  <c r="BG137" i="5"/>
  <c r="BL137" i="5" s="1"/>
  <c r="BG469" i="5"/>
  <c r="BL469" i="5" s="1"/>
  <c r="BH469" i="5"/>
  <c r="BM469" i="5" s="1"/>
  <c r="BH275" i="5"/>
  <c r="BM275" i="5" s="1"/>
  <c r="BG275" i="5"/>
  <c r="BL275" i="5" s="1"/>
  <c r="BG545" i="5"/>
  <c r="BL545" i="5" s="1"/>
  <c r="BH545" i="5"/>
  <c r="BM545" i="5" s="1"/>
  <c r="BH486" i="5"/>
  <c r="BM486" i="5" s="1"/>
  <c r="BG486" i="5"/>
  <c r="BL486" i="5" s="1"/>
  <c r="BH203" i="5"/>
  <c r="BM203" i="5" s="1"/>
  <c r="BG203" i="5"/>
  <c r="BL203" i="5" s="1"/>
  <c r="BG191" i="5"/>
  <c r="BL191" i="5" s="1"/>
  <c r="BH191" i="5"/>
  <c r="BM191" i="5" s="1"/>
  <c r="BH93" i="5"/>
  <c r="BM93" i="5" s="1"/>
  <c r="BG93" i="5"/>
  <c r="BL93" i="5" s="1"/>
  <c r="BG236" i="5"/>
  <c r="BL236" i="5" s="1"/>
  <c r="BH236" i="5"/>
  <c r="BM236" i="5" s="1"/>
  <c r="BH212" i="5"/>
  <c r="BM212" i="5" s="1"/>
  <c r="BG212" i="5"/>
  <c r="BL212" i="5" s="1"/>
  <c r="BG227" i="5"/>
  <c r="BL227" i="5" s="1"/>
  <c r="BH227" i="5"/>
  <c r="BM227" i="5" s="1"/>
  <c r="BH114" i="5"/>
  <c r="BM114" i="5" s="1"/>
  <c r="BG114" i="5"/>
  <c r="BL114" i="5" s="1"/>
  <c r="BG511" i="5"/>
  <c r="BL511" i="5" s="1"/>
  <c r="BH511" i="5"/>
  <c r="BM511" i="5" s="1"/>
  <c r="BH204" i="5"/>
  <c r="BM204" i="5" s="1"/>
  <c r="BG204" i="5"/>
  <c r="BL204" i="5" s="1"/>
  <c r="BG555" i="5"/>
  <c r="BL555" i="5" s="1"/>
  <c r="BH555" i="5"/>
  <c r="BM555" i="5" s="1"/>
  <c r="BH61" i="5"/>
  <c r="BM61" i="5" s="1"/>
  <c r="BG61" i="5"/>
  <c r="BL61" i="5" s="1"/>
  <c r="BH465" i="5"/>
  <c r="BM465" i="5" s="1"/>
  <c r="BG465" i="5"/>
  <c r="BL465" i="5" s="1"/>
  <c r="BH90" i="5"/>
  <c r="BM90" i="5" s="1"/>
  <c r="BG90" i="5"/>
  <c r="BL90" i="5" s="1"/>
  <c r="BG9" i="5"/>
  <c r="BL9" i="5" s="1"/>
  <c r="BH9" i="5"/>
  <c r="BM9" i="5" s="1"/>
  <c r="BG375" i="5"/>
  <c r="BL375" i="5" s="1"/>
  <c r="BH375" i="5"/>
  <c r="BM375" i="5" s="1"/>
  <c r="BG338" i="5"/>
  <c r="BL338" i="5" s="1"/>
  <c r="BH338" i="5"/>
  <c r="BM338" i="5" s="1"/>
  <c r="BG80" i="5"/>
  <c r="BL80" i="5" s="1"/>
  <c r="BH80" i="5"/>
  <c r="BM80" i="5" s="1"/>
  <c r="BH380" i="5"/>
  <c r="BM380" i="5" s="1"/>
  <c r="BG380" i="5"/>
  <c r="BL380" i="5" s="1"/>
  <c r="BG113" i="5"/>
  <c r="BL113" i="5" s="1"/>
  <c r="BH113" i="5"/>
  <c r="BM113" i="5" s="1"/>
  <c r="BH62" i="5"/>
  <c r="BM62" i="5" s="1"/>
  <c r="BG62" i="5"/>
  <c r="BL62" i="5" s="1"/>
  <c r="BG405" i="5"/>
  <c r="BL405" i="5" s="1"/>
  <c r="BH405" i="5"/>
  <c r="BM405" i="5" s="1"/>
  <c r="BH46" i="5"/>
  <c r="BM46" i="5" s="1"/>
  <c r="BG46" i="5"/>
  <c r="BL46" i="5" s="1"/>
  <c r="BG304" i="5"/>
  <c r="BL304" i="5" s="1"/>
  <c r="BH304" i="5"/>
  <c r="BM304" i="5" s="1"/>
  <c r="BG355" i="5"/>
  <c r="BL355" i="5" s="1"/>
  <c r="BH355" i="5"/>
  <c r="BM355" i="5" s="1"/>
  <c r="BG215" i="5"/>
  <c r="BL215" i="5" s="1"/>
  <c r="BH215" i="5"/>
  <c r="BM215" i="5" s="1"/>
  <c r="BH347" i="5"/>
  <c r="BM347" i="5" s="1"/>
  <c r="BG347" i="5"/>
  <c r="BL347" i="5" s="1"/>
  <c r="BG154" i="5"/>
  <c r="BL154" i="5" s="1"/>
  <c r="BH154" i="5"/>
  <c r="BM154" i="5" s="1"/>
  <c r="BG389" i="5"/>
  <c r="BL389" i="5" s="1"/>
  <c r="BH389" i="5"/>
  <c r="BM389" i="5" s="1"/>
  <c r="BH335" i="5"/>
  <c r="BM335" i="5" s="1"/>
  <c r="BG335" i="5"/>
  <c r="BL335" i="5" s="1"/>
  <c r="BH399" i="5"/>
  <c r="BM399" i="5" s="1"/>
  <c r="BG399" i="5"/>
  <c r="BL399" i="5" s="1"/>
  <c r="BH74" i="5"/>
  <c r="BM74" i="5" s="1"/>
  <c r="BG74" i="5"/>
  <c r="BL74" i="5" s="1"/>
  <c r="BG153" i="5"/>
  <c r="BL153" i="5" s="1"/>
  <c r="BH153" i="5"/>
  <c r="BM153" i="5" s="1"/>
  <c r="BH193" i="5"/>
  <c r="BM193" i="5" s="1"/>
  <c r="BG193" i="5"/>
  <c r="BL193" i="5" s="1"/>
  <c r="BG57" i="5"/>
  <c r="BL57" i="5" s="1"/>
  <c r="BH57" i="5"/>
  <c r="BM57" i="5" s="1"/>
  <c r="BG264" i="5"/>
  <c r="BL264" i="5" s="1"/>
  <c r="BH264" i="5"/>
  <c r="BM264" i="5" s="1"/>
  <c r="BG314" i="5"/>
  <c r="BL314" i="5" s="1"/>
  <c r="BH314" i="5"/>
  <c r="BM314" i="5" s="1"/>
  <c r="BH453" i="5"/>
  <c r="BM453" i="5" s="1"/>
  <c r="BG453" i="5"/>
  <c r="BL453" i="5" s="1"/>
  <c r="BG424" i="5"/>
  <c r="BL424" i="5" s="1"/>
  <c r="BH424" i="5"/>
  <c r="BM424" i="5" s="1"/>
  <c r="BH187" i="5"/>
  <c r="BM187" i="5" s="1"/>
  <c r="BG187" i="5"/>
  <c r="BL187" i="5" s="1"/>
  <c r="BH501" i="5"/>
  <c r="BM501" i="5" s="1"/>
  <c r="BG501" i="5"/>
  <c r="BL501" i="5" s="1"/>
  <c r="BH247" i="5"/>
  <c r="BM247" i="5" s="1"/>
  <c r="BG247" i="5"/>
  <c r="BL247" i="5" s="1"/>
  <c r="BG201" i="5"/>
  <c r="BL201" i="5" s="1"/>
  <c r="BH201" i="5"/>
  <c r="BM201" i="5" s="1"/>
  <c r="BH178" i="5"/>
  <c r="BM178" i="5" s="1"/>
  <c r="BG178" i="5"/>
  <c r="BL178" i="5" s="1"/>
  <c r="BH79" i="5"/>
  <c r="BM79" i="5" s="1"/>
  <c r="BG79" i="5"/>
  <c r="BL79" i="5" s="1"/>
  <c r="BG36" i="5"/>
  <c r="BL36" i="5" s="1"/>
  <c r="BH36" i="5"/>
  <c r="BM36" i="5" s="1"/>
  <c r="BH362" i="5"/>
  <c r="BM362" i="5" s="1"/>
  <c r="BG362" i="5"/>
  <c r="BL362" i="5" s="1"/>
  <c r="BG445" i="5"/>
  <c r="BL445" i="5" s="1"/>
  <c r="BH445" i="5"/>
  <c r="BM445" i="5" s="1"/>
  <c r="BG326" i="5"/>
  <c r="BL326" i="5" s="1"/>
  <c r="BH326" i="5"/>
  <c r="BM326" i="5" s="1"/>
  <c r="BG455" i="5"/>
  <c r="BL455" i="5" s="1"/>
  <c r="BH455" i="5"/>
  <c r="BM455" i="5" s="1"/>
  <c r="BH111" i="5"/>
  <c r="BM111" i="5" s="1"/>
  <c r="BG111" i="5"/>
  <c r="BL111" i="5" s="1"/>
  <c r="BH273" i="5"/>
  <c r="BM273" i="5" s="1"/>
  <c r="BG273" i="5"/>
  <c r="BL273" i="5" s="1"/>
  <c r="BG165" i="5"/>
  <c r="BL165" i="5" s="1"/>
  <c r="BH165" i="5"/>
  <c r="BM165" i="5" s="1"/>
  <c r="BH148" i="5"/>
  <c r="BM148" i="5" s="1"/>
  <c r="BG148" i="5"/>
  <c r="BL148" i="5" s="1"/>
  <c r="BG175" i="5"/>
  <c r="BL175" i="5" s="1"/>
  <c r="BH175" i="5"/>
  <c r="BM175" i="5" s="1"/>
  <c r="BH416" i="5"/>
  <c r="BM416" i="5" s="1"/>
  <c r="BG416" i="5"/>
  <c r="BL416" i="5" s="1"/>
  <c r="BH319" i="5"/>
  <c r="BM319" i="5" s="1"/>
  <c r="BG319" i="5"/>
  <c r="BL319" i="5" s="1"/>
  <c r="BH462" i="5"/>
  <c r="BM462" i="5" s="1"/>
  <c r="BG462" i="5"/>
  <c r="BL462" i="5" s="1"/>
  <c r="BG468" i="5"/>
  <c r="BL468" i="5" s="1"/>
  <c r="BH468" i="5"/>
  <c r="BM468" i="5" s="1"/>
  <c r="BH315" i="5"/>
  <c r="BM315" i="5" s="1"/>
  <c r="BG315" i="5"/>
  <c r="BL315" i="5" s="1"/>
  <c r="BG367" i="5"/>
  <c r="BL367" i="5" s="1"/>
  <c r="BH367" i="5"/>
  <c r="BM367" i="5" s="1"/>
  <c r="BH138" i="5"/>
  <c r="BM138" i="5" s="1"/>
  <c r="BG138" i="5"/>
  <c r="BL138" i="5" s="1"/>
  <c r="BG266" i="5"/>
  <c r="BL266" i="5" s="1"/>
  <c r="BH266" i="5"/>
  <c r="BM266" i="5" s="1"/>
  <c r="BG535" i="5"/>
  <c r="BL535" i="5" s="1"/>
  <c r="BH535" i="5"/>
  <c r="BM535" i="5" s="1"/>
  <c r="BH277" i="5"/>
  <c r="BM277" i="5" s="1"/>
  <c r="BG277" i="5"/>
  <c r="BL277" i="5" s="1"/>
  <c r="BG542" i="5"/>
  <c r="BL542" i="5" s="1"/>
  <c r="BH542" i="5"/>
  <c r="BM542" i="5" s="1"/>
  <c r="BH28" i="5"/>
  <c r="BM28" i="5" s="1"/>
  <c r="BG28" i="5"/>
  <c r="BL28" i="5" s="1"/>
  <c r="BG454" i="5"/>
  <c r="BL454" i="5" s="1"/>
  <c r="BH454" i="5"/>
  <c r="BM454" i="5" s="1"/>
  <c r="BG336" i="5"/>
  <c r="BL336" i="5" s="1"/>
  <c r="BH336" i="5"/>
  <c r="BM336" i="5" s="1"/>
  <c r="BG152" i="5"/>
  <c r="BL152" i="5" s="1"/>
  <c r="BH152" i="5"/>
  <c r="BM152" i="5" s="1"/>
  <c r="BH143" i="5"/>
  <c r="BM143" i="5" s="1"/>
  <c r="BG143" i="5"/>
  <c r="BL143" i="5" s="1"/>
  <c r="BG497" i="5"/>
  <c r="BL497" i="5" s="1"/>
  <c r="BH497" i="5"/>
  <c r="BM497" i="5" s="1"/>
  <c r="BG130" i="5"/>
  <c r="BL130" i="5" s="1"/>
  <c r="BH130" i="5"/>
  <c r="BM130" i="5" s="1"/>
  <c r="BG100" i="5"/>
  <c r="BL100" i="5" s="1"/>
  <c r="BH100" i="5"/>
  <c r="BM100" i="5" s="1"/>
  <c r="BG68" i="5"/>
  <c r="BL68" i="5" s="1"/>
  <c r="BH68" i="5"/>
  <c r="BM68" i="5" s="1"/>
  <c r="BG271" i="5"/>
  <c r="BL271" i="5" s="1"/>
  <c r="BH271" i="5"/>
  <c r="BM271" i="5" s="1"/>
  <c r="BG487" i="5"/>
  <c r="BL487" i="5" s="1"/>
  <c r="BH487" i="5"/>
  <c r="BM487" i="5" s="1"/>
  <c r="BG381" i="5"/>
  <c r="BL381" i="5" s="1"/>
  <c r="BH381" i="5"/>
  <c r="BM381" i="5" s="1"/>
  <c r="BG29" i="5"/>
  <c r="BL29" i="5" s="1"/>
  <c r="BH29" i="5"/>
  <c r="BM29" i="5" s="1"/>
  <c r="BH32" i="5"/>
  <c r="BM32" i="5" s="1"/>
  <c r="BG32" i="5"/>
  <c r="BL32" i="5" s="1"/>
  <c r="BH293" i="5"/>
  <c r="BM293" i="5" s="1"/>
  <c r="BG293" i="5"/>
  <c r="BL293" i="5" s="1"/>
  <c r="BG73" i="5"/>
  <c r="BL73" i="5" s="1"/>
  <c r="BH73" i="5"/>
  <c r="BM73" i="5" s="1"/>
  <c r="BG515" i="5"/>
  <c r="BL515" i="5" s="1"/>
  <c r="BH515" i="5"/>
  <c r="BM515" i="5" s="1"/>
  <c r="BG485" i="5"/>
  <c r="BL485" i="5" s="1"/>
  <c r="BH485" i="5"/>
  <c r="BM485" i="5" s="1"/>
  <c r="BH81" i="5"/>
  <c r="BM81" i="5" s="1"/>
  <c r="BG81" i="5"/>
  <c r="BL81" i="5" s="1"/>
  <c r="BH330" i="5"/>
  <c r="BM330" i="5" s="1"/>
  <c r="BG330" i="5"/>
  <c r="BL330" i="5" s="1"/>
  <c r="BH147" i="5"/>
  <c r="BM147" i="5" s="1"/>
  <c r="BG147" i="5"/>
  <c r="BL147" i="5" s="1"/>
  <c r="BG400" i="5"/>
  <c r="BL400" i="5" s="1"/>
  <c r="BH400" i="5"/>
  <c r="BM400" i="5" s="1"/>
  <c r="BG502" i="5"/>
  <c r="BL502" i="5" s="1"/>
  <c r="BH502" i="5"/>
  <c r="BM502" i="5" s="1"/>
  <c r="BH107" i="5"/>
  <c r="BM107" i="5" s="1"/>
  <c r="BG107" i="5"/>
  <c r="BL107" i="5" s="1"/>
  <c r="BH360" i="5"/>
  <c r="BM360" i="5" s="1"/>
  <c r="BG360" i="5"/>
  <c r="BL360" i="5" s="1"/>
  <c r="BH521" i="5"/>
  <c r="BM521" i="5" s="1"/>
  <c r="BG521" i="5"/>
  <c r="BL521" i="5" s="1"/>
  <c r="BH115" i="5"/>
  <c r="BM115" i="5" s="1"/>
  <c r="BG115" i="5"/>
  <c r="BL115" i="5" s="1"/>
  <c r="BG77" i="5"/>
  <c r="BL77" i="5" s="1"/>
  <c r="BH77" i="5"/>
  <c r="BM77" i="5" s="1"/>
  <c r="BG364" i="5"/>
  <c r="BL364" i="5" s="1"/>
  <c r="BH364" i="5"/>
  <c r="BM364" i="5" s="1"/>
  <c r="BG60" i="5"/>
  <c r="BL60" i="5" s="1"/>
  <c r="BH60" i="5"/>
  <c r="BM60" i="5" s="1"/>
  <c r="BG200" i="5"/>
  <c r="BL200" i="5" s="1"/>
  <c r="BH200" i="5"/>
  <c r="BM200" i="5" s="1"/>
  <c r="BG163" i="5"/>
  <c r="BL163" i="5" s="1"/>
  <c r="BH163" i="5"/>
  <c r="BM163" i="5" s="1"/>
  <c r="BG491" i="5"/>
  <c r="BL491" i="5" s="1"/>
  <c r="BH491" i="5"/>
  <c r="BM491" i="5" s="1"/>
  <c r="BH426" i="5"/>
  <c r="BM426" i="5" s="1"/>
  <c r="BG426" i="5"/>
  <c r="BL426" i="5" s="1"/>
  <c r="BH290" i="5"/>
  <c r="BM290" i="5" s="1"/>
  <c r="BG290" i="5"/>
  <c r="BL290" i="5" s="1"/>
  <c r="BG243" i="5"/>
  <c r="BL243" i="5" s="1"/>
  <c r="BH243" i="5"/>
  <c r="BM243" i="5" s="1"/>
  <c r="BH88" i="5"/>
  <c r="BM88" i="5" s="1"/>
  <c r="BG88" i="5"/>
  <c r="BL88" i="5" s="1"/>
  <c r="BH431" i="5"/>
  <c r="BM431" i="5" s="1"/>
  <c r="BG431" i="5"/>
  <c r="BL431" i="5" s="1"/>
  <c r="BG44" i="5"/>
  <c r="BL44" i="5" s="1"/>
  <c r="BH44" i="5"/>
  <c r="BM44" i="5" s="1"/>
  <c r="BH117" i="5"/>
  <c r="BM117" i="5" s="1"/>
  <c r="BG117" i="5"/>
  <c r="BL117" i="5" s="1"/>
  <c r="BG428" i="5"/>
  <c r="BL428" i="5" s="1"/>
  <c r="BH428" i="5"/>
  <c r="BM428" i="5" s="1"/>
  <c r="BG547" i="5"/>
  <c r="BL547" i="5" s="1"/>
  <c r="BH547" i="5"/>
  <c r="BM547" i="5" s="1"/>
  <c r="BH53" i="5"/>
  <c r="BM53" i="5" s="1"/>
  <c r="BG53" i="5"/>
  <c r="BL53" i="5" s="1"/>
  <c r="BG512" i="5"/>
  <c r="BL512" i="5" s="1"/>
  <c r="BH512" i="5"/>
  <c r="BM512" i="5" s="1"/>
  <c r="BF11" i="5"/>
  <c r="BG150" i="5"/>
  <c r="BL150" i="5" s="1"/>
  <c r="BH150" i="5"/>
  <c r="BM150" i="5" s="1"/>
  <c r="BG549" i="5"/>
  <c r="BL549" i="5" s="1"/>
  <c r="BH549" i="5"/>
  <c r="BM549" i="5" s="1"/>
  <c r="BH372" i="5"/>
  <c r="BM372" i="5" s="1"/>
  <c r="BG372" i="5"/>
  <c r="BL372" i="5" s="1"/>
  <c r="BH503" i="5"/>
  <c r="BM503" i="5" s="1"/>
  <c r="BG503" i="5"/>
  <c r="BL503" i="5" s="1"/>
  <c r="BG106" i="5"/>
  <c r="BL106" i="5" s="1"/>
  <c r="BH106" i="5"/>
  <c r="BM106" i="5" s="1"/>
  <c r="BG308" i="5"/>
  <c r="BL308" i="5" s="1"/>
  <c r="BH308" i="5"/>
  <c r="BM308" i="5" s="1"/>
  <c r="BG208" i="5"/>
  <c r="BL208" i="5" s="1"/>
  <c r="BH208" i="5"/>
  <c r="BM208" i="5" s="1"/>
  <c r="BG139" i="5"/>
  <c r="BL139" i="5" s="1"/>
  <c r="BH139" i="5"/>
  <c r="BM139" i="5" s="1"/>
  <c r="BG519" i="5"/>
  <c r="BL519" i="5" s="1"/>
  <c r="BH519" i="5"/>
  <c r="BM519" i="5" s="1"/>
  <c r="BG122" i="5"/>
  <c r="BL122" i="5" s="1"/>
  <c r="BH122" i="5"/>
  <c r="BM122" i="5" s="1"/>
  <c r="BG134" i="5"/>
  <c r="BL134" i="5" s="1"/>
  <c r="BH134" i="5"/>
  <c r="BM134" i="5" s="1"/>
  <c r="BH513" i="5"/>
  <c r="BM513" i="5" s="1"/>
  <c r="BG513" i="5"/>
  <c r="BL513" i="5" s="1"/>
  <c r="BG265" i="5"/>
  <c r="BL265" i="5" s="1"/>
  <c r="BH265" i="5"/>
  <c r="BM265" i="5" s="1"/>
  <c r="BH45" i="5"/>
  <c r="BM45" i="5" s="1"/>
  <c r="BG45" i="5"/>
  <c r="BL45" i="5" s="1"/>
  <c r="BG141" i="5"/>
  <c r="BL141" i="5" s="1"/>
  <c r="BH141" i="5"/>
  <c r="BM141" i="5" s="1"/>
  <c r="BH260" i="5"/>
  <c r="BM260" i="5" s="1"/>
  <c r="BG260" i="5"/>
  <c r="BL260" i="5" s="1"/>
  <c r="BH459" i="5"/>
  <c r="BM459" i="5" s="1"/>
  <c r="BG459" i="5"/>
  <c r="BL459" i="5" s="1"/>
  <c r="BG50" i="5"/>
  <c r="BL50" i="5" s="1"/>
  <c r="BH50" i="5"/>
  <c r="BM50" i="5" s="1"/>
  <c r="BG261" i="5"/>
  <c r="BL261" i="5" s="1"/>
  <c r="BH261" i="5"/>
  <c r="BM261" i="5" s="1"/>
  <c r="BH206" i="5"/>
  <c r="BM206" i="5" s="1"/>
  <c r="BG206" i="5"/>
  <c r="BL206" i="5" s="1"/>
  <c r="BH368" i="5"/>
  <c r="BM368" i="5" s="1"/>
  <c r="BG368" i="5"/>
  <c r="BL368" i="5" s="1"/>
  <c r="BH478" i="5"/>
  <c r="BM478" i="5" s="1"/>
  <c r="BG478" i="5"/>
  <c r="BL478" i="5" s="1"/>
  <c r="BH385" i="5"/>
  <c r="BM385" i="5" s="1"/>
  <c r="BG385" i="5"/>
  <c r="BL385" i="5" s="1"/>
  <c r="BG391" i="5"/>
  <c r="BL391" i="5" s="1"/>
  <c r="BH391" i="5"/>
  <c r="BM391" i="5" s="1"/>
  <c r="BG384" i="5"/>
  <c r="BL384" i="5" s="1"/>
  <c r="BH384" i="5"/>
  <c r="BM384" i="5" s="1"/>
  <c r="BG69" i="5"/>
  <c r="BL69" i="5" s="1"/>
  <c r="BH69" i="5"/>
  <c r="BM69" i="5" s="1"/>
  <c r="AU50" i="4" l="1"/>
  <c r="AW50" i="4" s="1"/>
  <c r="AU26" i="4"/>
  <c r="AW26" i="4" s="1"/>
  <c r="AU40" i="4"/>
  <c r="AW40" i="4" s="1"/>
  <c r="AU62" i="4"/>
  <c r="AW62" i="4" s="1"/>
  <c r="AU64" i="4"/>
  <c r="AW64" i="4" s="1"/>
  <c r="AU42" i="4"/>
  <c r="AW42" i="4" s="1"/>
  <c r="AU45" i="4"/>
  <c r="AW45" i="4" s="1"/>
  <c r="AQ65" i="4"/>
  <c r="AP65" i="4"/>
  <c r="AC65" i="4"/>
  <c r="AD65" i="4" s="1"/>
  <c r="AQ59" i="4"/>
  <c r="AC59" i="4"/>
  <c r="AD59" i="4" s="1"/>
  <c r="AP59" i="4"/>
  <c r="AQ63" i="4"/>
  <c r="AC63" i="4"/>
  <c r="AD63" i="4" s="1"/>
  <c r="AP63" i="4"/>
  <c r="AU32" i="4"/>
  <c r="AW32" i="4" s="1"/>
  <c r="AQ60" i="4"/>
  <c r="AP60" i="4"/>
  <c r="AC60" i="4"/>
  <c r="AD60" i="4" s="1"/>
  <c r="AC61" i="4"/>
  <c r="AD61" i="4" s="1"/>
  <c r="AQ61" i="4"/>
  <c r="AP61" i="4"/>
  <c r="AP55" i="4"/>
  <c r="AQ55" i="4"/>
  <c r="AC55" i="4"/>
  <c r="AD55" i="4" s="1"/>
  <c r="AQ57" i="4"/>
  <c r="AC57" i="4"/>
  <c r="AD57" i="4" s="1"/>
  <c r="AP57" i="4"/>
  <c r="AQ54" i="4"/>
  <c r="AC54" i="4"/>
  <c r="AD54" i="4" s="1"/>
  <c r="AP54" i="4"/>
  <c r="BK11" i="5"/>
  <c r="BJ11" i="5"/>
  <c r="BG11" i="5"/>
  <c r="BL11" i="5" s="1"/>
  <c r="BH11" i="5"/>
  <c r="BM11" i="5" s="1"/>
  <c r="AU54" i="4" l="1"/>
  <c r="AW54" i="4" s="1"/>
  <c r="AU59" i="4"/>
  <c r="AW59" i="4" s="1"/>
  <c r="AU57" i="4"/>
  <c r="AW57" i="4" s="1"/>
  <c r="AU63" i="4"/>
  <c r="AW63" i="4" s="1"/>
  <c r="AU61" i="4"/>
  <c r="AW61" i="4" s="1"/>
  <c r="AU65" i="4"/>
  <c r="AW65" i="4" s="1"/>
  <c r="AU55" i="4"/>
  <c r="AW55" i="4" s="1"/>
  <c r="AU60" i="4"/>
  <c r="AW6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LM5127 Design Tool</t>
        </r>
        <r>
          <rPr>
            <sz val="9"/>
            <color indexed="81"/>
            <rFont val="Tahoma"/>
            <family val="2"/>
          </rPr>
          <t xml:space="preserve">
This stand-alone tool facilitates and assists the power supply engineer with design of a DC-DC boost converter based on the LM5127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H12" authorId="0" shapeId="0" xr:uid="{00000000-0006-0000-0000-000003000000}">
      <text>
        <r>
          <rPr>
            <b/>
            <sz val="9"/>
            <color indexed="81"/>
            <rFont val="Tahoma"/>
            <family val="2"/>
          </rPr>
          <t xml:space="preserve">Light Load Switching Mode Selection:
</t>
        </r>
        <r>
          <rPr>
            <sz val="9"/>
            <color indexed="81"/>
            <rFont val="Tahoma"/>
            <family val="2"/>
          </rPr>
          <t>FPWM --&gt; MODE pin connected to VCC.
SKIP --&gt; MODE pin floating.
DEM --&gt; MODE pin connect to GND.
See the datasheet for more details on each mode.</t>
        </r>
      </text>
    </comment>
    <comment ref="H20" authorId="0" shapeId="0" xr:uid="{00000000-0006-0000-0000-000004000000}">
      <text>
        <r>
          <rPr>
            <b/>
            <sz val="9"/>
            <color indexed="81"/>
            <rFont val="Tahoma"/>
            <family val="2"/>
          </rPr>
          <t xml:space="preserve">If this cell shows:
CCM: </t>
        </r>
        <r>
          <rPr>
            <sz val="9"/>
            <color indexed="81"/>
            <rFont val="Tahoma"/>
            <family val="2"/>
          </rPr>
          <t>The step up ratio from the minimum supply voltage to the load voltage can be achieved without exceeding the maximum duty cycle. Continous conduction mode is possilbe at the minimum supply voltage.</t>
        </r>
        <r>
          <rPr>
            <b/>
            <sz val="9"/>
            <color indexed="81"/>
            <rFont val="Tahoma"/>
            <family val="2"/>
          </rPr>
          <t xml:space="preserve">
DCM: </t>
        </r>
        <r>
          <rPr>
            <sz val="9"/>
            <color indexed="81"/>
            <rFont val="Tahoma"/>
            <family val="2"/>
          </rPr>
          <t>Discontinous conduction mode at the minimum supply voltage must be used as the duty cycle exceeds the maximum of the IC. This will result in higher peak inductor currents and lower efficiency. If this occurs, it is possible to decrease the switching frequency to increase the maximum duty cycle.</t>
        </r>
      </text>
    </comment>
    <comment ref="H57" authorId="0" shapeId="0" xr:uid="{00000000-0006-0000-0000-000005000000}">
      <text>
        <r>
          <rPr>
            <b/>
            <sz val="9"/>
            <color indexed="81"/>
            <rFont val="Tahoma"/>
            <family val="2"/>
          </rPr>
          <t xml:space="preserve">TRK Pin Voltage:
</t>
        </r>
        <r>
          <rPr>
            <sz val="9"/>
            <color indexed="81"/>
            <rFont val="Tahoma"/>
            <family val="2"/>
          </rPr>
          <t xml:space="preserve">
This is the voltage seen at the TRK pin when regulation to the load voltage. The TRK pin can be driven from an external voltage source or it can be supplied through a resistor divider from the REF pin. 
</t>
        </r>
      </text>
    </comment>
    <comment ref="H60" authorId="0" shapeId="0" xr:uid="{00000000-0006-0000-0000-000006000000}">
      <text>
        <r>
          <rPr>
            <b/>
            <sz val="9"/>
            <color indexed="81"/>
            <rFont val="Tahoma"/>
            <family val="2"/>
          </rPr>
          <t xml:space="preserve">RVREFT selection
</t>
        </r>
        <r>
          <rPr>
            <sz val="9"/>
            <color indexed="81"/>
            <rFont val="Tahoma"/>
            <family val="2"/>
          </rPr>
          <t xml:space="preserve">Select the a resistor value between RVREFT_min and VREFT_max. This will set the LM5123 to be in the correct output voltage range for the application.
</t>
        </r>
      </text>
    </comment>
    <comment ref="H62" authorId="0" shapeId="0" xr:uid="{00000000-0006-0000-0000-000007000000}">
      <text>
        <r>
          <rPr>
            <b/>
            <sz val="9"/>
            <color indexed="81"/>
            <rFont val="Tahoma"/>
            <family val="2"/>
          </rPr>
          <t xml:space="preserve">RVREFB Selection
</t>
        </r>
        <r>
          <rPr>
            <sz val="9"/>
            <color indexed="81"/>
            <rFont val="Tahoma"/>
            <family val="2"/>
          </rPr>
          <t xml:space="preserve">This value should be the same value as the VREFB_calc value. This sets the load voltage of the boost controler 
</t>
        </r>
      </text>
    </comment>
    <comment ref="H65" authorId="0" shapeId="0" xr:uid="{00000000-0006-0000-0000-000008000000}">
      <text>
        <r>
          <rPr>
            <b/>
            <sz val="9"/>
            <color indexed="81"/>
            <rFont val="Tahoma"/>
            <family val="2"/>
          </rPr>
          <t>Control Loop Bandwidth</t>
        </r>
        <r>
          <rPr>
            <sz val="9"/>
            <color indexed="81"/>
            <rFont val="Tahoma"/>
            <family val="2"/>
          </rPr>
          <t xml:space="preserve">
This sets the bandwidth of the control loop. In a boost controler the RHP zero of the plant transfer function limits the maximum value of the control loop bandwidth. It is recommended to not exceed 1/5th the RHP zero frequency. The FCO_calc value calculates the 1/5th the RHP zero frequency. It is recommend to not exceed the FCO_calc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93" authorId="0" shapeId="0" xr:uid="{00000000-0006-0000-0100-000001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94" authorId="0" shapeId="0" xr:uid="{00000000-0006-0000-0100-000002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<sst xmlns="http://schemas.openxmlformats.org/spreadsheetml/2006/main" count="1067" uniqueCount="612">
  <si>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</si>
  <si>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</si>
  <si>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</si>
  <si>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</si>
  <si>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</si>
  <si>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</si>
  <si>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</si>
  <si>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</si>
  <si>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</si>
  <si>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</si>
  <si>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</si>
  <si>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</si>
  <si>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</si>
  <si>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</si>
  <si>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</si>
  <si>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</si>
  <si>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</si>
  <si>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</si>
  <si>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</si>
  <si>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</si>
  <si>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</si>
  <si>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</si>
  <si>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</si>
  <si>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</si>
  <si>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</si>
  <si>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</si>
  <si>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</si>
  <si>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</si>
  <si>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</si>
  <si>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</si>
  <si>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</si>
  <si>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</si>
  <si>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</si>
  <si>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</si>
  <si>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</si>
  <si>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</si>
  <si>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</si>
  <si>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</si>
  <si>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</si>
  <si>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</si>
  <si>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</si>
  <si>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</si>
  <si>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</si>
  <si>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</si>
  <si>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</si>
  <si>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</si>
  <si>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</si>
  <si>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</si>
  <si>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</si>
  <si>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</si>
  <si>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</si>
  <si>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</si>
  <si>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</si>
  <si>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</si>
  <si>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</si>
  <si>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</si>
  <si>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</si>
  <si>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</si>
  <si>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</si>
  <si>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</si>
  <si>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</si>
  <si>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</si>
  <si>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</si>
  <si>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</si>
  <si>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</si>
  <si>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</si>
  <si>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</si>
  <si>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</si>
  <si>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</si>
  <si>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</si>
  <si>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</si>
  <si>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</si>
  <si>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</si>
  <si>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</si>
  <si>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</si>
  <si>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</si>
  <si>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</si>
  <si>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</si>
  <si>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</si>
  <si>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</si>
  <si>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ton_min</t>
  </si>
  <si>
    <t>Typical Ton minimum value</t>
  </si>
  <si>
    <t>IL_avg_VIN_min</t>
  </si>
  <si>
    <t>IL_avg_VIN_nom</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</si>
  <si>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</si>
  <si>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</si>
  <si>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</si>
  <si>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</si>
  <si>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</si>
  <si>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</si>
  <si>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</si>
  <si>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Rdcr</t>
  </si>
  <si>
    <r>
      <t>m</t>
    </r>
    <r>
      <rPr>
        <sz val="11"/>
        <color theme="1"/>
        <rFont val="Calibri"/>
        <family val="2"/>
      </rPr>
      <t>Ω</t>
    </r>
  </si>
  <si>
    <r>
      <t>Peak inductor current, IL</t>
    </r>
    <r>
      <rPr>
        <vertAlign val="subscript"/>
        <sz val="10"/>
        <color theme="1"/>
        <rFont val="Calibri"/>
        <family val="2"/>
        <scheme val="minor"/>
      </rPr>
      <t>PK</t>
    </r>
  </si>
  <si>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</si>
  <si>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</si>
  <si>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</si>
  <si>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</si>
  <si>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</si>
  <si>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</si>
  <si>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</si>
  <si>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</si>
  <si>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</si>
  <si>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</si>
  <si>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</si>
  <si>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</si>
  <si>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</si>
  <si>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</si>
  <si>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</si>
  <si>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</si>
  <si>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</si>
  <si>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</si>
  <si>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</si>
  <si>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</si>
  <si>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</si>
  <si>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</si>
  <si>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</si>
  <si>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Peak ripple ratio: Boost this happens at 33%</t>
  </si>
  <si>
    <t>Dc_rip_max</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</si>
  <si>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</si>
  <si>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</si>
  <si>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</si>
  <si>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</si>
  <si>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</si>
  <si>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</si>
  <si>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</si>
  <si>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</si>
  <si>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Isl</t>
  </si>
  <si>
    <t>Internal slope compensation ramp</t>
  </si>
  <si>
    <t>Rsl_int</t>
  </si>
  <si>
    <t>Internal Slope compensation resistor</t>
  </si>
  <si>
    <t>Rcs_wo_sl</t>
  </si>
  <si>
    <t>Vcl</t>
  </si>
  <si>
    <t>Current Limit Value. See datsheet for Parameters</t>
  </si>
  <si>
    <t>Flag_ext_sl</t>
  </si>
  <si>
    <t>R_cs_calc</t>
  </si>
  <si>
    <t>R_sl_calc</t>
  </si>
  <si>
    <t>R_cs</t>
  </si>
  <si>
    <t>R_sl</t>
  </si>
  <si>
    <t>Selected current sense Resistor</t>
  </si>
  <si>
    <t>Check to make sure that slope compensation is high enough at the minimum input voltage</t>
  </si>
  <si>
    <t>Slope Compensation</t>
  </si>
  <si>
    <t>sl_vin_min</t>
  </si>
  <si>
    <t>Actual inductor peak current limit</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</si>
  <si>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</si>
  <si>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</si>
  <si>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</si>
  <si>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</si>
  <si>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</si>
  <si>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</si>
  <si>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</si>
  <si>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</si>
  <si>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</si>
  <si>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</si>
  <si>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Step 4: Output Capacitor Selection</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</si>
  <si>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</si>
  <si>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</si>
  <si>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</si>
  <si>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</si>
  <si>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</si>
  <si>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</si>
  <si>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</si>
  <si>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</si>
  <si>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</si>
  <si>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</si>
  <si>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</si>
  <si>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</si>
  <si>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</si>
  <si>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</si>
  <si>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</si>
  <si>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r>
      <t>Selected Peak Current limit(IL</t>
    </r>
    <r>
      <rPr>
        <vertAlign val="subscript"/>
        <sz val="11"/>
        <color theme="1"/>
        <rFont val="Calibri"/>
        <family val="2"/>
        <scheme val="minor"/>
      </rPr>
      <t>PK_select</t>
    </r>
    <r>
      <rPr>
        <sz val="11"/>
        <color theme="1"/>
        <rFont val="Calibri"/>
        <family val="2"/>
        <scheme val="minor"/>
      </rPr>
      <t>)</t>
    </r>
  </si>
  <si>
    <t>Step 5: Loop Compensation</t>
  </si>
  <si>
    <t>Input Parameters</t>
  </si>
  <si>
    <t>Output Voltage</t>
  </si>
  <si>
    <t>Component Selection</t>
  </si>
  <si>
    <t>LM</t>
  </si>
  <si>
    <t>filter Inductor</t>
  </si>
  <si>
    <t>Current sense resi</t>
  </si>
  <si>
    <t>Interanl Slope Compesnation Resistor</t>
  </si>
  <si>
    <t>Interanl Slope Compesnation current</t>
  </si>
  <si>
    <t>RCOMP</t>
  </si>
  <si>
    <t>kΩ</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</si>
  <si>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</si>
  <si>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</si>
  <si>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</si>
  <si>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</si>
  <si>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</si>
  <si>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</si>
  <si>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</si>
  <si>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</si>
  <si>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</si>
  <si>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</si>
  <si>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</si>
  <si>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</si>
  <si>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</si>
  <si>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</si>
  <si>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</si>
  <si>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</si>
  <si>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</si>
  <si>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</si>
  <si>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</si>
  <si>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</si>
  <si>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</si>
  <si>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</si>
  <si>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</si>
  <si>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</si>
  <si>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</si>
  <si>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</si>
  <si>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</si>
  <si>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</si>
  <si>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</si>
  <si>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</si>
  <si>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</si>
  <si>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</si>
  <si>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</si>
  <si>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</si>
  <si>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</si>
  <si>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</si>
  <si>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</si>
  <si>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</si>
  <si>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</si>
  <si>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</si>
  <si>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</si>
  <si>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</si>
  <si>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</si>
  <si>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</si>
  <si>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</si>
  <si>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</si>
  <si>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</si>
  <si>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</si>
  <si>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</si>
  <si>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</si>
  <si>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</si>
  <si>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</si>
  <si>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</si>
  <si>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</si>
  <si>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</si>
  <si>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</si>
  <si>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</si>
  <si>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</si>
  <si>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</si>
  <si>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</si>
  <si>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</si>
  <si>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</si>
  <si>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</si>
  <si>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</si>
  <si>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</si>
  <si>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</si>
  <si>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</si>
  <si>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</si>
  <si>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</si>
  <si>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</si>
  <si>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</si>
  <si>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</si>
  <si>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t>
  </si>
  <si>
    <t>Desired Crossover frequency</t>
  </si>
  <si>
    <t>1/10 the swictching frequency</t>
  </si>
  <si>
    <t>Select the lower crossover frequency</t>
  </si>
  <si>
    <t>wz_RHP</t>
  </si>
  <si>
    <t>Rcomp_Calc</t>
  </si>
  <si>
    <t>Calculate on based on the desired Mid-band gain needed to set the crossover frequency</t>
  </si>
  <si>
    <t>fz_ea_est</t>
  </si>
  <si>
    <t>CCOMP_calc</t>
  </si>
  <si>
    <t>fp_ea_est</t>
  </si>
  <si>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</si>
  <si>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</si>
  <si>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</si>
  <si>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</si>
  <si>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</si>
  <si>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</si>
  <si>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</si>
  <si>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</si>
  <si>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</si>
  <si>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</si>
  <si>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</si>
  <si>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</si>
  <si>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</si>
  <si>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</si>
  <si>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</si>
  <si>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</si>
  <si>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</si>
  <si>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</si>
  <si>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</si>
  <si>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</si>
  <si>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</si>
  <si>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</si>
  <si>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</si>
  <si>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</si>
  <si>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</si>
  <si>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</si>
  <si>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</si>
  <si>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</si>
  <si>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</si>
  <si>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</si>
  <si>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</si>
  <si>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</si>
  <si>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</si>
  <si>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</si>
  <si>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</si>
  <si>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</si>
  <si>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</si>
  <si>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</si>
  <si>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</si>
  <si>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</si>
  <si>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</si>
  <si>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</si>
  <si>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</si>
  <si>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</si>
  <si>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</si>
  <si>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</si>
  <si>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</si>
  <si>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</si>
  <si>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</si>
  <si>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</si>
  <si>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</si>
  <si>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</si>
  <si>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</si>
  <si>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</si>
  <si>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</si>
  <si>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</si>
  <si>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t>Step 7: Component Selection</t>
  </si>
  <si>
    <t>Vd_rect</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</si>
  <si>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</si>
  <si>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</si>
  <si>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</si>
  <si>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</si>
  <si>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</si>
  <si>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</si>
  <si>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</si>
  <si>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</si>
  <si>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</si>
  <si>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</si>
  <si>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</si>
  <si>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</si>
  <si>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</si>
  <si>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</si>
  <si>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</si>
  <si>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</si>
  <si>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</si>
  <si>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Qg_tot</t>
  </si>
  <si>
    <t>Qgs</t>
  </si>
  <si>
    <t>Qgd</t>
  </si>
  <si>
    <t>Rgate</t>
  </si>
  <si>
    <t>gfs</t>
  </si>
  <si>
    <t>Vth</t>
  </si>
  <si>
    <t>C</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</si>
  <si>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</si>
  <si>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</si>
  <si>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</si>
  <si>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</si>
  <si>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</si>
  <si>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</si>
  <si>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</si>
  <si>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</si>
  <si>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</si>
  <si>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</si>
  <si>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</si>
  <si>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</si>
  <si>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Need to double check this value</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</si>
  <si>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</si>
  <si>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</si>
  <si>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</si>
  <si>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</si>
  <si>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</si>
  <si>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</si>
  <si>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</si>
  <si>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</si>
  <si>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</si>
  <si>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</si>
  <si>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</si>
  <si>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</si>
  <si>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</si>
  <si>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</si>
  <si>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</si>
  <si>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</si>
  <si>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</si>
  <si>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</si>
  <si>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</si>
  <si>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</si>
  <si>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Inductor</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</si>
  <si>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</si>
  <si>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</si>
  <si>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</si>
  <si>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</si>
  <si>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</si>
  <si>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</si>
  <si>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</si>
  <si>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</si>
  <si>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</si>
  <si>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</si>
  <si>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</si>
  <si>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</si>
  <si>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</si>
  <si>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</si>
  <si>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</si>
  <si>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</si>
  <si>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</si>
  <si>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</si>
  <si>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</si>
  <si>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</si>
  <si>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</si>
  <si>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</si>
  <si>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</si>
  <si>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</si>
  <si>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</si>
  <si>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</si>
  <si>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</si>
  <si>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</si>
  <si>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</si>
  <si>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</si>
  <si>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</si>
  <si>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</si>
  <si>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</si>
  <si>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</si>
  <si>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</si>
  <si>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</si>
  <si>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</si>
  <si>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</si>
  <si>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</si>
  <si>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</si>
  <si>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Maximum duty cycle at the minimum input voltage. Includes estimated efficiency for margin</t>
  </si>
  <si>
    <t>Duty cycle at the mimum input voltage (CCM). (First order/ ideal equation)</t>
  </si>
  <si>
    <t>Duty cycle at the nominal input voltage (CCM) (First order/ ideal equation)</t>
  </si>
  <si>
    <t>Duty cycle at the maximum input voltage (CCM) (First order/ ideal equation)</t>
  </si>
  <si>
    <t>DCM_Flag</t>
  </si>
  <si>
    <t>DC_rip</t>
  </si>
  <si>
    <t>CCM Operation calculations</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</si>
  <si>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</si>
  <si>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</si>
  <si>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</si>
  <si>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</si>
  <si>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</si>
  <si>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</si>
  <si>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</si>
  <si>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</si>
  <si>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</si>
  <si>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</si>
  <si>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</si>
  <si>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</si>
  <si>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</si>
  <si>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This value used to make the selection for CCM calculations</t>
  </si>
  <si>
    <t>Duty Cycle Calculations</t>
  </si>
  <si>
    <t>Minium input voltage</t>
  </si>
  <si>
    <t>DCc_mode_VIN_min</t>
  </si>
  <si>
    <t>DCc_mode_VIN_nom</t>
  </si>
  <si>
    <t>DCc_mode_VIN_max</t>
  </si>
  <si>
    <t>IL_avg_VIN_max</t>
  </si>
  <si>
    <t>Current Sense Resistor calculated, id DCM this is going to be the value calculated without slope compensation</t>
  </si>
  <si>
    <t>External Compensation? (0-no, 1-yes), Only accurate for CCM as DCM doesn't need slope compensation</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</si>
  <si>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</si>
  <si>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</si>
  <si>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</si>
  <si>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</si>
  <si>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</si>
  <si>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</si>
  <si>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</si>
  <si>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</si>
  <si>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</si>
  <si>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</si>
  <si>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</si>
  <si>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</si>
  <si>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</si>
  <si>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</si>
  <si>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</si>
  <si>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r>
      <t xml:space="preserve">Conservative. Set Fcross to be 1/5th the RHP zero frequency or 1/10th SW: whichever is lower. </t>
    </r>
    <r>
      <rPr>
        <b/>
        <sz val="11"/>
        <color theme="1"/>
        <rFont val="Calibri"/>
        <family val="2"/>
        <scheme val="minor"/>
      </rPr>
      <t>Note this is just for CCM operation</t>
    </r>
  </si>
  <si>
    <t>General Loop Selections</t>
  </si>
  <si>
    <t>Rcomp_Calc_DCM</t>
  </si>
  <si>
    <t>Calcualted based on the desired Zero frequency. Set at the geometric mean between the crossover frequency and the load pole</t>
  </si>
  <si>
    <t>Calcualted based on the RHP zero frequency</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</si>
  <si>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</si>
  <si>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</si>
  <si>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</si>
  <si>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</si>
  <si>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</si>
  <si>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</si>
  <si>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</si>
  <si>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</si>
  <si>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</si>
  <si>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</si>
  <si>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</si>
  <si>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DC_VIN_var_DCM</t>
  </si>
  <si>
    <t>Operating mode</t>
  </si>
  <si>
    <t>0 - DCM operation, 1- CCM opertaion</t>
  </si>
  <si>
    <t>wp_lf_DCM</t>
  </si>
  <si>
    <t>CCM Open Loop Response</t>
  </si>
  <si>
    <t>DCM Open Loop Response</t>
  </si>
  <si>
    <t>Displayed Loop Calclation</t>
  </si>
  <si>
    <t>Gain(dB)</t>
  </si>
  <si>
    <t>Phase (deg)</t>
  </si>
  <si>
    <t>RAD</t>
  </si>
  <si>
    <t>This sets the error amp zero at the geometric mean between the load pole and the crossover frequency</t>
  </si>
  <si>
    <t>Vsl</t>
  </si>
  <si>
    <r>
      <t xml:space="preserve">Current sense resistor without slope compensation </t>
    </r>
    <r>
      <rPr>
        <b/>
        <sz val="11"/>
        <color theme="1"/>
        <rFont val="Calibri"/>
        <family val="2"/>
        <scheme val="minor"/>
      </rPr>
      <t>(No variable slope compensation of the LM5127)</t>
    </r>
  </si>
  <si>
    <r>
      <t>External Slope Compensation Resistor</t>
    </r>
    <r>
      <rPr>
        <b/>
        <sz val="11"/>
        <color theme="1"/>
        <rFont val="Calibri"/>
        <family val="2"/>
        <scheme val="minor"/>
      </rPr>
      <t xml:space="preserve"> (No external Slope Comp for LM5127)</t>
    </r>
  </si>
  <si>
    <t>Kex</t>
  </si>
  <si>
    <t>Km</t>
  </si>
  <si>
    <t>Kd</t>
  </si>
  <si>
    <t>Slope compensation parameters. Will change pole and DC gain equation</t>
  </si>
  <si>
    <t>Sampling pole</t>
  </si>
  <si>
    <t>Q factor of the inductor sampling curve</t>
  </si>
  <si>
    <t>Always set to 1 right now for initial revision. Will only operate in CCM</t>
  </si>
  <si>
    <t>Kex_VINmin</t>
  </si>
  <si>
    <t>Km_VINmin</t>
  </si>
  <si>
    <t>Kd_VINmin</t>
  </si>
  <si>
    <t>Calculated at the minimum input voltage</t>
  </si>
  <si>
    <t>Slope compensation (VSL is refered to the current sense resistor)</t>
  </si>
  <si>
    <t>Uses the felxible equations used in my mathcad file.</t>
  </si>
  <si>
    <t>ae</t>
  </si>
  <si>
    <t>be</t>
  </si>
  <si>
    <t>Gfc</t>
  </si>
  <si>
    <r>
      <t>On-State Resistance, R</t>
    </r>
    <r>
      <rPr>
        <vertAlign val="subscript"/>
        <sz val="10"/>
        <color theme="2" tint="-0.89999084444715716"/>
        <rFont val="Arial"/>
        <family val="2"/>
      </rPr>
      <t>DS(on)</t>
    </r>
    <r>
      <rPr>
        <sz val="10"/>
        <color theme="2" tint="-0.89999084444715716"/>
        <rFont val="Arial"/>
        <family val="2"/>
      </rPr>
      <t xml:space="preserve"> </t>
    </r>
  </si>
  <si>
    <r>
      <t>Total Gate Charge, Q</t>
    </r>
    <r>
      <rPr>
        <vertAlign val="subscript"/>
        <sz val="10"/>
        <color theme="2" tint="-0.89999084444715716"/>
        <rFont val="Arial"/>
        <family val="2"/>
      </rPr>
      <t>G</t>
    </r>
    <r>
      <rPr>
        <sz val="10"/>
        <color theme="2" tint="-0.89999084444715716"/>
        <rFont val="Arial"/>
        <family val="2"/>
      </rPr>
      <t xml:space="preserve"> </t>
    </r>
  </si>
  <si>
    <r>
      <t>Gate-Drain Charge, Q</t>
    </r>
    <r>
      <rPr>
        <vertAlign val="subscript"/>
        <sz val="10"/>
        <color theme="2" tint="-0.89999084444715716"/>
        <rFont val="Arial"/>
        <family val="2"/>
      </rPr>
      <t>GD</t>
    </r>
    <r>
      <rPr>
        <sz val="10"/>
        <color theme="2" tint="-0.89999084444715716"/>
        <rFont val="Arial"/>
        <family val="2"/>
      </rPr>
      <t xml:space="preserve"> </t>
    </r>
  </si>
  <si>
    <r>
      <t>Gate-Source Charge, Q</t>
    </r>
    <r>
      <rPr>
        <vertAlign val="subscript"/>
        <sz val="10"/>
        <color theme="2" tint="-0.89999084444715716"/>
        <rFont val="Arial"/>
        <family val="2"/>
      </rPr>
      <t>GS</t>
    </r>
    <r>
      <rPr>
        <sz val="10"/>
        <color theme="2" tint="-0.89999084444715716"/>
        <rFont val="Arial"/>
        <family val="2"/>
      </rPr>
      <t xml:space="preserve"> </t>
    </r>
  </si>
  <si>
    <r>
      <t>Gate Resistance, R</t>
    </r>
    <r>
      <rPr>
        <vertAlign val="subscript"/>
        <sz val="10"/>
        <color theme="2" tint="-0.89999084444715716"/>
        <rFont val="Arial"/>
        <family val="2"/>
      </rPr>
      <t>G</t>
    </r>
    <r>
      <rPr>
        <sz val="10"/>
        <color theme="2" tint="-0.89999084444715716"/>
        <rFont val="Arial"/>
        <family val="2"/>
      </rPr>
      <t xml:space="preserve"> </t>
    </r>
  </si>
  <si>
    <r>
      <t>Gate-Source Threshold Voltage, V</t>
    </r>
    <r>
      <rPr>
        <vertAlign val="subscript"/>
        <sz val="10"/>
        <color theme="2" tint="-0.89999084444715716"/>
        <rFont val="Arial"/>
        <family val="2"/>
      </rPr>
      <t>TH</t>
    </r>
    <r>
      <rPr>
        <sz val="10"/>
        <color theme="2" tint="-0.89999084444715716"/>
        <rFont val="Arial"/>
        <family val="2"/>
      </rPr>
      <t xml:space="preserve"> </t>
    </r>
  </si>
  <si>
    <r>
      <t>Boost Converter Duty Cycle Limit of LM5123 at V</t>
    </r>
    <r>
      <rPr>
        <vertAlign val="subscript"/>
        <sz val="10"/>
        <color theme="1"/>
        <rFont val="Calibri"/>
        <family val="2"/>
        <scheme val="minor"/>
      </rPr>
      <t>SUPPLY(MIN)</t>
    </r>
  </si>
  <si>
    <t>LM5123 BOOST Controller Design Tool</t>
  </si>
  <si>
    <t>VOUT_range</t>
  </si>
  <si>
    <t>Suggested output voltage range</t>
  </si>
  <si>
    <t xml:space="preserve">Sets the feedback divider. Unique to the LM5123 topology (1 = low voltage &lt;=15V, 2 = high voltage &gt;15V) </t>
  </si>
  <si>
    <t>Light load operation switching mode</t>
  </si>
  <si>
    <t>SW_mode</t>
  </si>
  <si>
    <t>selected switching mode (1 = SKIP, 2 = DEM, 3 =FPWM) Will change the effieciency calculations accordingly</t>
  </si>
  <si>
    <r>
      <t>Switching mode at V</t>
    </r>
    <r>
      <rPr>
        <vertAlign val="subscript"/>
        <sz val="11"/>
        <color theme="1"/>
        <rFont val="Calibri"/>
        <family val="2"/>
        <scheme val="minor"/>
      </rPr>
      <t>SUPPLY(min)</t>
    </r>
  </si>
  <si>
    <t xml:space="preserve">Estimated efficiency. Assuming 100% simplify the calculations </t>
  </si>
  <si>
    <t xml:space="preserve">1: DCM operation required at VINmin to achieve the step-up ratio. 
</t>
  </si>
  <si>
    <t>2: CCM operation can achieve step-up ratio with out violating the maximum duty cycle</t>
  </si>
  <si>
    <t>Maximum IC duty cycle. Based on the forced off time and frequency. Give the equation about 2% margin to allow for losses in the controller</t>
  </si>
  <si>
    <t>DCM Operation calculations</t>
  </si>
  <si>
    <t>Indicates if the regulator is operating in CCM or DCM at full load (1 = CCM, 0 = DCM)</t>
  </si>
  <si>
    <t>Np</t>
  </si>
  <si>
    <t>number of phases in operation (For the LM5123 only one phase is possilbe with out external circuts)</t>
  </si>
  <si>
    <t>Normal</t>
  </si>
  <si>
    <t>Indicates if the regulator is operating in CCM or DCM at full load (1 = CCM, 0 = DCM). If FPWM mode is selected always picks CCM operation</t>
  </si>
  <si>
    <t>ratio of down slope to slope compensation. This helps to prevent sub-harmonic oscillation in conditions where the duty cycle is &gt; 50%</t>
  </si>
  <si>
    <r>
      <t>External slope compensation resistor, if DCM operation the external slope compensation is not needed. Should b 0 Ohm (</t>
    </r>
    <r>
      <rPr>
        <b/>
        <sz val="11"/>
        <color theme="1"/>
        <rFont val="Calibri"/>
        <family val="2"/>
        <scheme val="minor"/>
      </rPr>
      <t>No external slope comp in LM5123)</t>
    </r>
  </si>
  <si>
    <r>
      <t>Selected external slope compensation (</t>
    </r>
    <r>
      <rPr>
        <b/>
        <sz val="11"/>
        <color theme="1"/>
        <rFont val="Calibri"/>
        <family val="2"/>
        <scheme val="minor"/>
      </rPr>
      <t>No varialbe slope compenstiaon for the LM5123)</t>
    </r>
  </si>
  <si>
    <t>Can add this in later to make sure the dynamic range of the error amplifier is not violated</t>
  </si>
  <si>
    <t>HZ</t>
  </si>
  <si>
    <t>Estimate to be 1.5 the RHP zero frequency. Pick based on DCM or CCM operation.</t>
  </si>
  <si>
    <t>RMS current of the output capacitor at VIN min IOUT max. RMS current rating should be larger than this. Need to update for DCM</t>
  </si>
  <si>
    <r>
      <t>Desired voltage On (V</t>
    </r>
    <r>
      <rPr>
        <vertAlign val="subscript"/>
        <sz val="11"/>
        <color theme="1"/>
        <rFont val="Calibri"/>
        <family val="2"/>
        <scheme val="minor"/>
      </rPr>
      <t>UVLO_ON</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</si>
  <si>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</si>
  <si>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</si>
  <si>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</si>
  <si>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</si>
  <si>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Step 5: UVLO Resistor Divider Selection</t>
  </si>
  <si>
    <t>Step 6: Soft-Start Capacitor Selection</t>
  </si>
  <si>
    <t>*The output capcitance is based on the load transient specification. Similar to the fylback converter</t>
  </si>
  <si>
    <t>Vout_Range</t>
  </si>
  <si>
    <t>KFB</t>
  </si>
  <si>
    <t>Kfb_low</t>
  </si>
  <si>
    <t>Kfb_high</t>
  </si>
  <si>
    <t>Rmax_low</t>
  </si>
  <si>
    <t>Rmax_high</t>
  </si>
  <si>
    <t>Rmin_low</t>
  </si>
  <si>
    <t>Rmin_high</t>
  </si>
  <si>
    <t>Rmax</t>
  </si>
  <si>
    <t>Rmin</t>
  </si>
  <si>
    <t>RFBT_max</t>
  </si>
  <si>
    <t>RFBT_min</t>
  </si>
  <si>
    <t>VTRK</t>
  </si>
  <si>
    <t>TRK pin voltage to set the correct output voltage</t>
  </si>
  <si>
    <t>VREF Resistor Selection</t>
  </si>
  <si>
    <r>
      <t>Calculated bottom feedback resistor (R</t>
    </r>
    <r>
      <rPr>
        <vertAlign val="subscript"/>
        <sz val="11"/>
        <color theme="1"/>
        <rFont val="Calibri"/>
        <family val="2"/>
        <scheme val="minor"/>
      </rPr>
      <t>VREFB_calc</t>
    </r>
    <r>
      <rPr>
        <sz val="11"/>
        <color theme="1"/>
        <rFont val="Calibri"/>
        <family val="2"/>
        <scheme val="minor"/>
      </rPr>
      <t>)</t>
    </r>
  </si>
  <si>
    <r>
      <t>Track pin voltage to set the output voltage (V</t>
    </r>
    <r>
      <rPr>
        <vertAlign val="subscript"/>
        <sz val="11"/>
        <color theme="1"/>
        <rFont val="Calibri"/>
        <family val="2"/>
        <scheme val="minor"/>
      </rPr>
      <t>TRK</t>
    </r>
    <r>
      <rPr>
        <sz val="11"/>
        <color theme="1"/>
        <rFont val="Calibri"/>
        <family val="2"/>
        <scheme val="minor"/>
      </rPr>
      <t>)</t>
    </r>
  </si>
  <si>
    <r>
      <rPr>
        <b/>
        <sz val="11"/>
        <color theme="1"/>
        <rFont val="Calibri"/>
        <family val="2"/>
        <scheme val="minor"/>
      </rPr>
      <t xml:space="preserve">Not used for the LM5123 or the LM5152. </t>
    </r>
    <r>
      <rPr>
        <sz val="11"/>
        <color theme="1"/>
        <rFont val="Calibri"/>
        <family val="2"/>
        <scheme val="minor"/>
      </rPr>
      <t>Current Drawn from the feedback resistors (Typically higher than 100uA to help w/ noise)</t>
    </r>
  </si>
  <si>
    <t>This is the output to the user based on the mode of operation when VIN is the minimum. Changes based on DCM or CCM operation</t>
  </si>
  <si>
    <r>
      <t>Crossover frequnecy of the</t>
    </r>
    <r>
      <rPr>
        <b/>
        <sz val="11"/>
        <color theme="1"/>
        <rFont val="Calibri"/>
        <family val="2"/>
        <scheme val="minor"/>
      </rPr>
      <t xml:space="preserve"> DCM control loop</t>
    </r>
    <r>
      <rPr>
        <sz val="11"/>
        <color theme="1"/>
        <rFont val="Calibri"/>
        <family val="2"/>
        <scheme val="minor"/>
      </rPr>
      <t>. (1/5th the RHPzero frequency), or 10th the switching frequency which ever is lower</t>
    </r>
  </si>
  <si>
    <t>Selected crossover</t>
  </si>
  <si>
    <t>DCM Operation Loop Model</t>
  </si>
  <si>
    <t>Fcross (VINvar)</t>
  </si>
  <si>
    <t>Low-Side MOSFET</t>
  </si>
  <si>
    <t>High-Side MOSFET Losses</t>
  </si>
  <si>
    <t>LOW Side MOSFET Parameters</t>
  </si>
  <si>
    <t>High Side MOSFET Parameters</t>
  </si>
  <si>
    <t>Body Diode Reverse recovery charge</t>
  </si>
  <si>
    <t>Body Diode Forward drop</t>
  </si>
  <si>
    <r>
      <t>Body Diode Reverse Recovery Charge (Q</t>
    </r>
    <r>
      <rPr>
        <vertAlign val="subscript"/>
        <sz val="11"/>
        <color theme="2" tint="-0.89996032593768116"/>
        <rFont val="Calibri"/>
        <family val="2"/>
        <scheme val="minor"/>
      </rPr>
      <t>RR</t>
    </r>
    <r>
      <rPr>
        <sz val="11"/>
        <color theme="2" tint="-0.89999084444715716"/>
        <rFont val="Calibri"/>
        <family val="2"/>
        <scheme val="minor"/>
      </rPr>
      <t>)</t>
    </r>
  </si>
  <si>
    <r>
      <t>Body Diode Forward Voltage Drop (V</t>
    </r>
    <r>
      <rPr>
        <vertAlign val="subscript"/>
        <sz val="11"/>
        <color theme="2" tint="-0.89996032593768116"/>
        <rFont val="Calibri"/>
        <family val="2"/>
        <scheme val="minor"/>
      </rPr>
      <t>D_BD</t>
    </r>
    <r>
      <rPr>
        <sz val="11"/>
        <color theme="2" tint="-0.89999084444715716"/>
        <rFont val="Calibri"/>
        <family val="2"/>
        <scheme val="minor"/>
      </rPr>
      <t>)</t>
    </r>
  </si>
  <si>
    <r>
      <t>Gate-Source Threshold Voltage, (V</t>
    </r>
    <r>
      <rPr>
        <vertAlign val="subscript"/>
        <sz val="10"/>
        <color theme="2" tint="-0.89999084444715716"/>
        <rFont val="Arial"/>
        <family val="2"/>
      </rPr>
      <t>TH</t>
    </r>
    <r>
      <rPr>
        <sz val="10"/>
        <color theme="2" tint="-0.89999084444715716"/>
        <rFont val="Arial"/>
        <family val="2"/>
      </rPr>
      <t>)</t>
    </r>
  </si>
  <si>
    <r>
      <t>Gate Resistance, (R</t>
    </r>
    <r>
      <rPr>
        <vertAlign val="subscript"/>
        <sz val="10"/>
        <color theme="2" tint="-0.89999084444715716"/>
        <rFont val="Arial"/>
        <family val="2"/>
      </rPr>
      <t>G</t>
    </r>
    <r>
      <rPr>
        <sz val="10"/>
        <color theme="2" tint="-0.89999084444715716"/>
        <rFont val="Arial"/>
        <family val="2"/>
      </rPr>
      <t>)</t>
    </r>
  </si>
  <si>
    <r>
      <t>On-State Resistance, (R</t>
    </r>
    <r>
      <rPr>
        <vertAlign val="subscript"/>
        <sz val="10"/>
        <color theme="2" tint="-0.89999084444715716"/>
        <rFont val="Arial"/>
        <family val="2"/>
      </rPr>
      <t>DS(on)</t>
    </r>
    <r>
      <rPr>
        <sz val="10"/>
        <color theme="2" tint="-0.89999084444715716"/>
        <rFont val="Arial"/>
        <family val="2"/>
      </rPr>
      <t>)</t>
    </r>
  </si>
  <si>
    <r>
      <t>Total Gate Charge, (Q</t>
    </r>
    <r>
      <rPr>
        <vertAlign val="subscript"/>
        <sz val="10"/>
        <color theme="2" tint="-0.89999084444715716"/>
        <rFont val="Arial"/>
        <family val="2"/>
      </rPr>
      <t>G</t>
    </r>
    <r>
      <rPr>
        <sz val="10"/>
        <color theme="2" tint="-0.89999084444715716"/>
        <rFont val="Arial"/>
        <family val="2"/>
      </rPr>
      <t>)</t>
    </r>
  </si>
  <si>
    <r>
      <t>Gate-Drain Charge, (Q</t>
    </r>
    <r>
      <rPr>
        <vertAlign val="subscript"/>
        <sz val="10"/>
        <color theme="2" tint="-0.89999084444715716"/>
        <rFont val="Arial"/>
        <family val="2"/>
      </rPr>
      <t>GD</t>
    </r>
    <r>
      <rPr>
        <sz val="10"/>
        <color theme="2" tint="-0.89999084444715716"/>
        <rFont val="Arial"/>
        <family val="2"/>
      </rPr>
      <t>)</t>
    </r>
  </si>
  <si>
    <r>
      <t>Gate-Source Charge, (Q</t>
    </r>
    <r>
      <rPr>
        <vertAlign val="subscript"/>
        <sz val="10"/>
        <color theme="2" tint="-0.89999084444715716"/>
        <rFont val="Arial"/>
        <family val="2"/>
      </rPr>
      <t>GS</t>
    </r>
    <r>
      <rPr>
        <sz val="10"/>
        <color theme="2" tint="-0.89999084444715716"/>
        <rFont val="Arial"/>
        <family val="2"/>
      </rPr>
      <t>)</t>
    </r>
  </si>
  <si>
    <r>
      <t>IHS</t>
    </r>
    <r>
      <rPr>
        <vertAlign val="subscript"/>
        <sz val="11"/>
        <color theme="1"/>
        <rFont val="Calibri"/>
        <family val="2"/>
        <scheme val="minor"/>
      </rPr>
      <t>RMS</t>
    </r>
  </si>
  <si>
    <t>Dead Time losses</t>
  </si>
  <si>
    <t>Dead time losses (Sync Controller)</t>
  </si>
  <si>
    <t>t_dead</t>
  </si>
  <si>
    <r>
      <t>P</t>
    </r>
    <r>
      <rPr>
        <vertAlign val="subscript"/>
        <sz val="11"/>
        <color theme="1"/>
        <rFont val="Calibri"/>
        <family val="2"/>
        <scheme val="minor"/>
      </rPr>
      <t xml:space="preserve">HS_tot </t>
    </r>
    <r>
      <rPr>
        <sz val="11"/>
        <color theme="1"/>
        <rFont val="Calibri"/>
        <family val="2"/>
        <scheme val="minor"/>
      </rPr>
      <t>(W)</t>
    </r>
  </si>
  <si>
    <r>
      <t>Select a top VREF resistor between R</t>
    </r>
    <r>
      <rPr>
        <vertAlign val="subscript"/>
        <sz val="11"/>
        <color theme="1"/>
        <rFont val="Calibri"/>
        <family val="2"/>
        <scheme val="minor"/>
      </rPr>
      <t>VREFT_min</t>
    </r>
    <r>
      <rPr>
        <sz val="11"/>
        <color theme="1"/>
        <rFont val="Calibri"/>
        <family val="2"/>
        <scheme val="minor"/>
      </rPr>
      <t xml:space="preserve"> and R</t>
    </r>
    <r>
      <rPr>
        <vertAlign val="subscript"/>
        <sz val="11"/>
        <color theme="1"/>
        <rFont val="Calibri"/>
        <family val="2"/>
        <scheme val="minor"/>
      </rPr>
      <t>VREFT_max</t>
    </r>
    <r>
      <rPr>
        <sz val="11"/>
        <color theme="1"/>
        <rFont val="Calibri"/>
        <family val="2"/>
        <scheme val="minor"/>
      </rPr>
      <t xml:space="preserve"> (R</t>
    </r>
    <r>
      <rPr>
        <vertAlign val="subscript"/>
        <sz val="11"/>
        <color theme="1"/>
        <rFont val="Calibri"/>
        <family val="2"/>
        <scheme val="minor"/>
      </rPr>
      <t>VREFT</t>
    </r>
    <r>
      <rPr>
        <sz val="11"/>
        <color theme="1"/>
        <rFont val="Calibri"/>
        <family val="2"/>
        <scheme val="minor"/>
      </rPr>
      <t>)</t>
    </r>
  </si>
  <si>
    <r>
      <t>P</t>
    </r>
    <r>
      <rPr>
        <vertAlign val="subscript"/>
        <sz val="11"/>
        <color theme="1"/>
        <rFont val="Calibri"/>
        <family val="2"/>
        <scheme val="minor"/>
      </rPr>
      <t>L_CORE</t>
    </r>
    <r>
      <rPr>
        <sz val="11"/>
        <color theme="1"/>
        <rFont val="Calibri"/>
        <family val="2"/>
        <scheme val="minor"/>
      </rPr>
      <t xml:space="preserve"> (W)</t>
    </r>
  </si>
  <si>
    <r>
      <t>Low-Side MOSFET Parameters (Q</t>
    </r>
    <r>
      <rPr>
        <b/>
        <vertAlign val="subscript"/>
        <sz val="11"/>
        <color theme="2" tint="-0.89996032593768116"/>
        <rFont val="Calibri"/>
        <family val="2"/>
        <scheme val="minor"/>
      </rPr>
      <t>LS</t>
    </r>
    <r>
      <rPr>
        <b/>
        <sz val="11"/>
        <color theme="2" tint="-0.89999084444715716"/>
        <rFont val="Calibri"/>
        <family val="2"/>
        <scheme val="minor"/>
      </rPr>
      <t>)</t>
    </r>
  </si>
  <si>
    <r>
      <t>High-Side MOSFET Parameters (Q</t>
    </r>
    <r>
      <rPr>
        <b/>
        <vertAlign val="subscript"/>
        <sz val="11"/>
        <color theme="2" tint="-0.89996032593768116"/>
        <rFont val="Calibri"/>
        <family val="2"/>
        <scheme val="minor"/>
      </rPr>
      <t>HS</t>
    </r>
    <r>
      <rPr>
        <b/>
        <sz val="11"/>
        <color theme="2" tint="-0.89999084444715716"/>
        <rFont val="Calibri"/>
        <family val="2"/>
        <scheme val="minor"/>
      </rPr>
      <t>)</t>
    </r>
  </si>
  <si>
    <r>
      <t>Select a bottomresistor based on calculated balue(R</t>
    </r>
    <r>
      <rPr>
        <vertAlign val="subscript"/>
        <sz val="11"/>
        <color theme="1"/>
        <rFont val="Calibri"/>
        <family val="2"/>
        <scheme val="minor"/>
      </rPr>
      <t>VREFB</t>
    </r>
    <r>
      <rPr>
        <sz val="11"/>
        <color theme="1"/>
        <rFont val="Calibri"/>
        <family val="2"/>
        <scheme val="minor"/>
      </rPr>
      <t>)</t>
    </r>
  </si>
  <si>
    <r>
      <t>Selected bandwidth (F</t>
    </r>
    <r>
      <rPr>
        <vertAlign val="subscript"/>
        <sz val="11"/>
        <color theme="1"/>
        <rFont val="Calibri"/>
        <family val="2"/>
        <scheme val="minor"/>
      </rPr>
      <t>CO</t>
    </r>
    <r>
      <rPr>
        <sz val="11"/>
        <color theme="1"/>
        <rFont val="Calibri"/>
        <family val="2"/>
        <scheme val="minor"/>
      </rPr>
      <t>)</t>
    </r>
  </si>
  <si>
    <r>
      <t>Suggested bandwidth (F</t>
    </r>
    <r>
      <rPr>
        <vertAlign val="subscript"/>
        <sz val="11"/>
        <color theme="1"/>
        <rFont val="Calibri"/>
        <family val="2"/>
        <scheme val="minor"/>
      </rPr>
      <t>CO_calc</t>
    </r>
    <r>
      <rPr>
        <sz val="11"/>
        <color theme="1"/>
        <rFont val="Calibri"/>
        <family val="2"/>
        <scheme val="minor"/>
      </rPr>
      <t>)</t>
    </r>
  </si>
  <si>
    <r>
      <t>Minimum value for (R</t>
    </r>
    <r>
      <rPr>
        <vertAlign val="subscript"/>
        <sz val="11"/>
        <color theme="1"/>
        <rFont val="Calibri"/>
        <family val="2"/>
        <scheme val="minor"/>
      </rPr>
      <t>VREFT_min</t>
    </r>
    <r>
      <rPr>
        <sz val="11"/>
        <color theme="1"/>
        <rFont val="Calibri"/>
        <family val="2"/>
        <scheme val="minor"/>
      </rPr>
      <t>)</t>
    </r>
  </si>
  <si>
    <r>
      <t>Maximum value for (R</t>
    </r>
    <r>
      <rPr>
        <vertAlign val="subscript"/>
        <sz val="11"/>
        <color theme="1"/>
        <rFont val="Calibri"/>
        <family val="2"/>
        <scheme val="minor"/>
      </rPr>
      <t>VREFT_max</t>
    </r>
    <r>
      <rPr>
        <sz val="11"/>
        <color theme="1"/>
        <rFont val="Calibri"/>
        <family val="2"/>
        <scheme val="minor"/>
      </rPr>
      <t>)</t>
    </r>
  </si>
  <si>
    <t>nest</t>
  </si>
  <si>
    <t>estimated efficiency at the peak current limit. Keep at ~95% for SYNC boost controllers</t>
  </si>
  <si>
    <t xml:space="preserve"> </t>
  </si>
  <si>
    <t>SCH_1 = SKIP</t>
  </si>
  <si>
    <t>SCH_2 = DEM</t>
  </si>
  <si>
    <t>SCH_3 = FPWM</t>
  </si>
  <si>
    <t>Rev 0.2</t>
  </si>
  <si>
    <t>December-2021</t>
  </si>
  <si>
    <t>FPWM</t>
  </si>
  <si>
    <t>Ruvlo_bottom_actual</t>
  </si>
  <si>
    <t>Rg_extra_rise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</si>
</sst>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00"/>
    <numFmt numFmtId="166" formatCode="0.000E+00"/>
    <numFmt numFmtId="167" formatCode="0.0000"/>
    <numFmt numFmtId="168" formatCode="0.0"/>
    <numFmt numFmtId="169" formatCode="0.0E+00"/>
    <numFmt numFmtId="170" formatCode="0.00000"/>
  </numFmts>
  <fonts count="40"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vertAlign val="subscript"/>
      <sz val="10"/>
      <name val="Arial"/>
      <family val="2"/>
    </font>
    <font>
      <vertAlign val="subscript"/>
      <sz val="11"/>
      <name val="Calibri"/>
      <family val="2"/>
      <scheme val="minor"/>
    </font>
    <font>
      <sz val="11"/>
      <color rgb="FF0070C0"/>
      <name val="Calibri"/>
      <family val="2"/>
      <scheme val="minor"/>
    </font>
    <font>
      <b/>
      <u/>
      <sz val="11"/>
      <color theme="1"/>
      <name val="Calibri"/>
      <family val="2"/>
      <scheme val="minor"/>
    </font>
    <font>
      <sz val="18"/>
      <color theme="2" tint="-0.89999084444715716"/>
      <name val="Calibri"/>
      <family val="2"/>
      <scheme val="minor"/>
    </font>
    <font>
      <sz val="11"/>
      <color theme="2" tint="-0.89999084444715716"/>
      <name val="Calibri"/>
      <family val="2"/>
      <scheme val="minor"/>
    </font>
    <font>
      <b/>
      <sz val="11"/>
      <color theme="2" tint="-0.89999084444715716"/>
      <name val="Calibri"/>
      <family val="2"/>
      <scheme val="minor"/>
    </font>
    <font>
      <sz val="10"/>
      <color theme="2" tint="-0.89999084444715716"/>
      <name val="Arial"/>
      <family val="2"/>
    </font>
    <font>
      <vertAlign val="subscript"/>
      <sz val="10"/>
      <color theme="2" tint="-0.89999084444715716"/>
      <name val="Arial"/>
      <family val="2"/>
    </font>
    <font>
      <sz val="11"/>
      <color theme="1" tint="0.14999847407452621"/>
      <name val="Calibri"/>
      <family val="2"/>
      <scheme val="minor"/>
    </font>
    <font>
      <vertAlign val="subscript"/>
      <sz val="11"/>
      <color theme="2" tint="-0.89996032593768116"/>
      <name val="Calibri"/>
      <family val="2"/>
      <scheme val="minor"/>
    </font>
    <font>
      <b/>
      <vertAlign val="subscript"/>
      <sz val="11"/>
      <color theme="2" tint="-0.89996032593768116"/>
      <name val="Calibri"/>
      <family val="2"/>
      <scheme val="minor"/>
    </font>
  </fonts>
  <fills count="1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rgb="FF00B050"/>
        <bgColor indexed="64"/>
      </patternFill>
    </fill>
  </fills>
  <borders count="31">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3" fillId="0" borderId="0"/>
    <xf numFmtId="164" fontId="4" fillId="0" borderId="0" applyFont="0" applyFill="0" applyBorder="0" applyAlignment="0" applyProtection="0"/>
    <xf numFmtId="0" fontId="4" fillId="0" borderId="0"/>
    <xf numFmtId="0" fontId="1" fillId="0" borderId="0"/>
    <xf numFmtId="164" fontId="1" fillId="0" borderId="0" applyFont="0" applyFill="0" applyBorder="0" applyAlignment="0" applyProtection="0"/>
    <xf numFmtId="0" fontId="4" fillId="0" borderId="0"/>
    <xf numFmtId="0" fontId="4" fillId="0" borderId="0"/>
    <xf numFmtId="164" fontId="3" fillId="0" borderId="0" applyFont="0" applyFill="0" applyBorder="0" applyAlignment="0" applyProtection="0"/>
    <xf numFmtId="0" fontId="3" fillId="0" borderId="0"/>
    <xf numFmtId="0" fontId="3" fillId="0" borderId="0"/>
    <xf numFmtId="0" fontId="3" fillId="0" borderId="0"/>
  </cellStyleXfs>
  <cellXfs count="235">
    <xf numFmtId="0" fontId="0" fillId="0" borderId="0" xfId="0"/>
    <xf numFmtId="0" fontId="0" fillId="9" borderId="0" xfId="0" applyFill="1"/>
    <xf numFmtId="0" fontId="17" fillId="0" borderId="0" xfId="0" applyFont="1"/>
    <xf numFmtId="0" fontId="0" fillId="10" borderId="0" xfId="0" applyFill="1"/>
    <xf numFmtId="0" fontId="4" fillId="0" borderId="0" xfId="3"/>
    <xf numFmtId="0" fontId="5" fillId="0" borderId="0" xfId="3" applyFont="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xf numFmtId="0" fontId="9" fillId="0" borderId="0" xfId="3" applyFont="1"/>
    <xf numFmtId="2" fontId="0" fillId="10" borderId="0" xfId="0" applyNumberFormat="1" applyFill="1"/>
    <xf numFmtId="0" fontId="0" fillId="11" borderId="0" xfId="0" applyFill="1"/>
    <xf numFmtId="166" fontId="0" fillId="9" borderId="0" xfId="0" applyNumberFormat="1" applyFill="1"/>
    <xf numFmtId="0" fontId="5" fillId="0" borderId="0" xfId="3" applyFont="1" applyAlignment="1">
      <alignment horizontal="right"/>
    </xf>
    <xf numFmtId="0" fontId="4" fillId="0" borderId="0" xfId="3" applyAlignment="1">
      <alignment horizontal="center"/>
    </xf>
    <xf numFmtId="165" fontId="0" fillId="9" borderId="0" xfId="0" applyNumberFormat="1" applyFill="1"/>
    <xf numFmtId="2" fontId="0" fillId="9" borderId="0" xfId="0" applyNumberFormat="1" applyFill="1"/>
    <xf numFmtId="1" fontId="0" fillId="9" borderId="0" xfId="0" applyNumberFormat="1" applyFill="1"/>
    <xf numFmtId="0" fontId="16" fillId="0" borderId="0" xfId="0" applyFont="1"/>
    <xf numFmtId="165" fontId="0" fillId="0" borderId="0" xfId="0" applyNumberFormat="1"/>
    <xf numFmtId="11" fontId="15" fillId="10" borderId="0" xfId="0" applyNumberFormat="1" applyFont="1" applyFill="1"/>
    <xf numFmtId="0" fontId="18" fillId="0" borderId="0" xfId="0" applyFont="1"/>
    <xf numFmtId="11" fontId="0" fillId="9" borderId="0" xfId="0" applyNumberFormat="1" applyFill="1"/>
    <xf numFmtId="0" fontId="5" fillId="0" borderId="0" xfId="3" applyFont="1" applyAlignment="1">
      <alignment horizontal="left"/>
    </xf>
    <xf numFmtId="167"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23" fillId="0" borderId="0" xfId="0" applyFont="1"/>
    <xf numFmtId="0" fontId="24" fillId="0" borderId="0" xfId="0" applyFont="1"/>
    <xf numFmtId="165" fontId="4" fillId="0" borderId="0" xfId="3" applyNumberFormat="1"/>
    <xf numFmtId="2" fontId="0" fillId="0" borderId="0" xfId="0" applyNumberFormat="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9" xfId="3" applyBorder="1"/>
    <xf numFmtId="0" fontId="0" fillId="0" borderId="5" xfId="0" applyBorder="1"/>
    <xf numFmtId="0" fontId="4" fillId="0" borderId="7" xfId="3" applyBorder="1"/>
    <xf numFmtId="0" fontId="0" fillId="0" borderId="6" xfId="0" applyBorder="1"/>
    <xf numFmtId="0" fontId="0" fillId="0" borderId="7" xfId="0" applyBorder="1"/>
    <xf numFmtId="0" fontId="0" fillId="0" borderId="9" xfId="0" applyBorder="1"/>
    <xf numFmtId="165"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5" fontId="4" fillId="0" borderId="3" xfId="3" applyNumberFormat="1" applyBorder="1"/>
    <xf numFmtId="0" fontId="4" fillId="0" borderId="3" xfId="3" applyBorder="1"/>
    <xf numFmtId="0" fontId="0" fillId="0" borderId="3" xfId="0" applyBorder="1"/>
    <xf numFmtId="0" fontId="4" fillId="0" borderId="2" xfId="3" applyBorder="1"/>
    <xf numFmtId="165" fontId="0" fillId="0" borderId="3" xfId="0" applyNumberFormat="1" applyBorder="1"/>
    <xf numFmtId="0" fontId="0" fillId="0" borderId="4" xfId="0" applyBorder="1"/>
    <xf numFmtId="165" fontId="4" fillId="0" borderId="8" xfId="3" applyNumberFormat="1" applyBorder="1"/>
    <xf numFmtId="0" fontId="4" fillId="0" borderId="6" xfId="3" applyBorder="1"/>
    <xf numFmtId="0" fontId="0" fillId="0" borderId="10" xfId="0" applyBorder="1"/>
    <xf numFmtId="0" fontId="0" fillId="0" borderId="11" xfId="0" applyBorder="1"/>
    <xf numFmtId="165" fontId="4" fillId="0" borderId="11" xfId="3" applyNumberFormat="1" applyBorder="1"/>
    <xf numFmtId="0" fontId="4" fillId="0" borderId="11" xfId="3" applyBorder="1"/>
    <xf numFmtId="0" fontId="4" fillId="0" borderId="10" xfId="3" applyBorder="1"/>
    <xf numFmtId="165"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13"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Alignment="1">
      <alignment horizontal="left"/>
    </xf>
    <xf numFmtId="0" fontId="4" fillId="0" borderId="8" xfId="3" applyBorder="1" applyAlignment="1">
      <alignment horizontal="left"/>
    </xf>
    <xf numFmtId="0" fontId="0" fillId="13" borderId="13" xfId="0" applyFill="1" applyBorder="1"/>
    <xf numFmtId="0" fontId="0" fillId="0" borderId="19" xfId="0" applyBorder="1"/>
    <xf numFmtId="0" fontId="0" fillId="13"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15" fillId="8" borderId="0" xfId="0" applyFont="1" applyFill="1" applyProtection="1">
      <protection hidden="1"/>
    </xf>
    <xf numFmtId="0" fontId="0" fillId="14" borderId="0" xfId="0" applyFill="1" applyProtection="1">
      <protection hidden="1"/>
    </xf>
    <xf numFmtId="0" fontId="0" fillId="8" borderId="0" xfId="0" applyFill="1" applyProtection="1">
      <protection hidden="1"/>
    </xf>
    <xf numFmtId="0" fontId="0" fillId="8" borderId="0" xfId="0" applyFill="1" applyAlignment="1" applyProtection="1">
      <alignment horizontal="right"/>
      <protection hidden="1"/>
    </xf>
    <xf numFmtId="0" fontId="2" fillId="8" borderId="0" xfId="0" applyFont="1" applyFill="1" applyProtection="1">
      <protection hidden="1"/>
    </xf>
    <xf numFmtId="0" fontId="0" fillId="7" borderId="0" xfId="0" applyFill="1" applyProtection="1">
      <protection hidden="1"/>
    </xf>
    <xf numFmtId="0" fontId="2" fillId="8" borderId="0" xfId="0" quotePrefix="1" applyFont="1" applyFill="1" applyProtection="1">
      <protection hidden="1"/>
    </xf>
    <xf numFmtId="0" fontId="2" fillId="8" borderId="0" xfId="0" applyFont="1" applyFill="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4" borderId="1" xfId="0" applyFill="1" applyBorder="1" applyProtection="1">
      <protection hidden="1"/>
    </xf>
    <xf numFmtId="0" fontId="0" fillId="15" borderId="0" xfId="0" applyFill="1" applyProtection="1">
      <protection hidden="1"/>
    </xf>
    <xf numFmtId="0" fontId="0" fillId="15" borderId="0" xfId="0" applyFill="1" applyAlignment="1" applyProtection="1">
      <alignment horizontal="right"/>
      <protection hidden="1"/>
    </xf>
    <xf numFmtId="49" fontId="0" fillId="15" borderId="0" xfId="0" applyNumberFormat="1" applyFill="1" applyProtection="1">
      <protection hidden="1"/>
    </xf>
    <xf numFmtId="0" fontId="0" fillId="15" borderId="2" xfId="0" applyFill="1" applyBorder="1" applyProtection="1">
      <protection hidden="1"/>
    </xf>
    <xf numFmtId="0" fontId="0" fillId="15" borderId="3" xfId="0" applyFill="1" applyBorder="1" applyProtection="1">
      <protection hidden="1"/>
    </xf>
    <xf numFmtId="0" fontId="13" fillId="15" borderId="3" xfId="3" applyFont="1" applyFill="1" applyBorder="1" applyAlignment="1" applyProtection="1">
      <alignment horizontal="right"/>
      <protection hidden="1"/>
    </xf>
    <xf numFmtId="0" fontId="0" fillId="15" borderId="4" xfId="0" applyFill="1" applyBorder="1" applyProtection="1">
      <protection hidden="1"/>
    </xf>
    <xf numFmtId="0" fontId="0" fillId="15" borderId="5" xfId="0" applyFill="1" applyBorder="1" applyProtection="1">
      <protection hidden="1"/>
    </xf>
    <xf numFmtId="0" fontId="13" fillId="15" borderId="0" xfId="3" applyFont="1" applyFill="1" applyAlignment="1" applyProtection="1">
      <alignment horizontal="right"/>
      <protection hidden="1"/>
    </xf>
    <xf numFmtId="0" fontId="0" fillId="15" borderId="6" xfId="0" applyFill="1" applyBorder="1" applyProtection="1">
      <protection hidden="1"/>
    </xf>
    <xf numFmtId="0" fontId="13" fillId="15" borderId="5" xfId="0" applyFont="1" applyFill="1" applyBorder="1" applyProtection="1">
      <protection hidden="1"/>
    </xf>
    <xf numFmtId="0" fontId="13" fillId="15" borderId="0" xfId="0" applyFont="1" applyFill="1" applyProtection="1">
      <protection hidden="1"/>
    </xf>
    <xf numFmtId="0" fontId="13" fillId="15" borderId="0" xfId="0" applyFont="1" applyFill="1" applyAlignment="1" applyProtection="1">
      <alignment horizontal="right"/>
      <protection hidden="1"/>
    </xf>
    <xf numFmtId="0" fontId="0" fillId="15" borderId="8" xfId="0" applyFill="1" applyBorder="1" applyProtection="1">
      <protection hidden="1"/>
    </xf>
    <xf numFmtId="0" fontId="0" fillId="15" borderId="9" xfId="0" applyFill="1" applyBorder="1" applyProtection="1">
      <protection hidden="1"/>
    </xf>
    <xf numFmtId="0" fontId="16" fillId="15" borderId="0" xfId="0" applyFont="1" applyFill="1" applyProtection="1">
      <protection hidden="1"/>
    </xf>
    <xf numFmtId="0" fontId="13" fillId="15" borderId="3" xfId="0" applyFont="1" applyFill="1" applyBorder="1" applyProtection="1">
      <protection hidden="1"/>
    </xf>
    <xf numFmtId="0" fontId="0" fillId="15" borderId="7" xfId="0" applyFill="1" applyBorder="1" applyProtection="1">
      <protection hidden="1"/>
    </xf>
    <xf numFmtId="0" fontId="13" fillId="15" borderId="8" xfId="3" applyFont="1" applyFill="1" applyBorder="1" applyAlignment="1" applyProtection="1">
      <alignment horizontal="right"/>
      <protection hidden="1"/>
    </xf>
    <xf numFmtId="0" fontId="17" fillId="15" borderId="6" xfId="0" applyFont="1" applyFill="1" applyBorder="1" applyProtection="1">
      <protection hidden="1"/>
    </xf>
    <xf numFmtId="0" fontId="0" fillId="15" borderId="8" xfId="0" applyFill="1" applyBorder="1" applyAlignment="1" applyProtection="1">
      <alignment horizontal="right"/>
      <protection hidden="1"/>
    </xf>
    <xf numFmtId="0" fontId="17" fillId="15" borderId="9" xfId="0" applyFont="1" applyFill="1" applyBorder="1" applyProtection="1">
      <protection hidden="1"/>
    </xf>
    <xf numFmtId="0" fontId="0" fillId="15" borderId="3" xfId="0" applyFill="1" applyBorder="1" applyAlignment="1" applyProtection="1">
      <alignment horizontal="right"/>
      <protection hidden="1"/>
    </xf>
    <xf numFmtId="0" fontId="16" fillId="15" borderId="2" xfId="0" applyFont="1" applyFill="1" applyBorder="1" applyProtection="1">
      <protection hidden="1"/>
    </xf>
    <xf numFmtId="0" fontId="15" fillId="15" borderId="3" xfId="0" applyFont="1" applyFill="1" applyBorder="1" applyAlignment="1" applyProtection="1">
      <alignment horizontal="right"/>
      <protection hidden="1"/>
    </xf>
    <xf numFmtId="0" fontId="16" fillId="15" borderId="5" xfId="0" applyFont="1" applyFill="1" applyBorder="1" applyProtection="1">
      <protection hidden="1"/>
    </xf>
    <xf numFmtId="0" fontId="23" fillId="15" borderId="0" xfId="0" applyFont="1" applyFill="1" applyAlignment="1" applyProtection="1">
      <alignment horizontal="right"/>
      <protection hidden="1"/>
    </xf>
    <xf numFmtId="0" fontId="0" fillId="15" borderId="0" xfId="0" applyFill="1" applyAlignment="1" applyProtection="1">
      <alignment horizontal="center"/>
      <protection hidden="1"/>
    </xf>
    <xf numFmtId="0" fontId="0" fillId="15" borderId="6" xfId="0" applyFill="1" applyBorder="1" applyAlignment="1" applyProtection="1">
      <alignment horizontal="center"/>
      <protection hidden="1"/>
    </xf>
    <xf numFmtId="0" fontId="0" fillId="14" borderId="0" xfId="0" applyFill="1" applyAlignment="1" applyProtection="1">
      <alignment horizontal="right"/>
      <protection hidden="1"/>
    </xf>
    <xf numFmtId="0" fontId="15" fillId="14"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5" borderId="25" xfId="0" applyNumberFormat="1" applyFill="1" applyBorder="1" applyProtection="1">
      <protection hidden="1"/>
    </xf>
    <xf numFmtId="0" fontId="0" fillId="15" borderId="25" xfId="0" applyFill="1" applyBorder="1" applyProtection="1">
      <protection hidden="1"/>
    </xf>
    <xf numFmtId="165" fontId="0" fillId="0" borderId="25" xfId="0" applyNumberFormat="1" applyBorder="1" applyProtection="1">
      <protection hidden="1"/>
    </xf>
    <xf numFmtId="2" fontId="0" fillId="0" borderId="26" xfId="0" applyNumberFormat="1" applyBorder="1" applyProtection="1">
      <protection hidden="1"/>
    </xf>
    <xf numFmtId="2" fontId="0" fillId="15"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ill="1" applyBorder="1" applyAlignment="1" applyProtection="1">
      <alignment vertical="top"/>
      <protection hidden="1"/>
    </xf>
    <xf numFmtId="0" fontId="0" fillId="0" borderId="25" xfId="0" applyBorder="1" applyAlignment="1" applyProtection="1">
      <alignment vertical="top"/>
      <protection hidden="1"/>
    </xf>
    <xf numFmtId="165" fontId="0" fillId="15" borderId="25" xfId="0" applyNumberFormat="1" applyFill="1" applyBorder="1" applyProtection="1">
      <protection hidden="1"/>
    </xf>
    <xf numFmtId="0" fontId="0" fillId="15" borderId="25" xfId="0" applyFill="1" applyBorder="1" applyAlignment="1" applyProtection="1">
      <alignment horizontal="center"/>
      <protection hidden="1"/>
    </xf>
    <xf numFmtId="1" fontId="0" fillId="15" borderId="7" xfId="0" applyNumberFormat="1" applyFill="1" applyBorder="1" applyProtection="1">
      <protection hidden="1"/>
    </xf>
    <xf numFmtId="0" fontId="0" fillId="7" borderId="23" xfId="0" applyFill="1" applyBorder="1" applyProtection="1">
      <protection locked="0" hidden="1"/>
    </xf>
    <xf numFmtId="0" fontId="0" fillId="7" borderId="0" xfId="0" applyFill="1"/>
    <xf numFmtId="0" fontId="30" fillId="0" borderId="0" xfId="0" applyFont="1"/>
    <xf numFmtId="0" fontId="31" fillId="0" borderId="0" xfId="0" applyFont="1"/>
    <xf numFmtId="0" fontId="0" fillId="0" borderId="0" xfId="0" applyAlignment="1">
      <alignment horizontal="center"/>
    </xf>
    <xf numFmtId="11" fontId="0" fillId="0" borderId="0" xfId="0" applyNumberFormat="1"/>
    <xf numFmtId="169" fontId="0" fillId="9" borderId="0" xfId="0" applyNumberFormat="1" applyFill="1"/>
    <xf numFmtId="0" fontId="3" fillId="0" borderId="8" xfId="3" applyFont="1" applyBorder="1"/>
    <xf numFmtId="0" fontId="23" fillId="15" borderId="24" xfId="0" applyFont="1" applyFill="1" applyBorder="1" applyAlignment="1" applyProtection="1">
      <alignment horizontal="center"/>
      <protection hidden="1"/>
    </xf>
    <xf numFmtId="0" fontId="23" fillId="0" borderId="0" xfId="0" quotePrefix="1" applyFont="1"/>
    <xf numFmtId="0" fontId="37" fillId="14" borderId="0" xfId="0" applyFont="1" applyFill="1" applyProtection="1">
      <protection hidden="1"/>
    </xf>
    <xf numFmtId="0" fontId="0" fillId="15" borderId="0" xfId="0" applyFill="1"/>
    <xf numFmtId="0" fontId="13" fillId="15" borderId="7" xfId="0" applyFont="1" applyFill="1" applyBorder="1" applyProtection="1">
      <protection hidden="1"/>
    </xf>
    <xf numFmtId="0" fontId="13" fillId="15" borderId="8" xfId="0" applyFont="1" applyFill="1" applyBorder="1" applyProtection="1">
      <protection hidden="1"/>
    </xf>
    <xf numFmtId="168" fontId="0" fillId="15" borderId="25" xfId="0" applyNumberFormat="1" applyFill="1" applyBorder="1" applyProtection="1">
      <protection hidden="1"/>
    </xf>
    <xf numFmtId="0" fontId="23" fillId="13" borderId="0" xfId="0" applyFont="1" applyFill="1"/>
    <xf numFmtId="165" fontId="0" fillId="6" borderId="0" xfId="0" applyNumberFormat="1" applyFill="1"/>
    <xf numFmtId="0" fontId="0" fillId="6" borderId="0" xfId="0" applyFill="1"/>
    <xf numFmtId="165" fontId="0" fillId="0" borderId="26" xfId="0" applyNumberFormat="1" applyBorder="1" applyProtection="1">
      <protection hidden="1"/>
    </xf>
    <xf numFmtId="170" fontId="0" fillId="0" borderId="0" xfId="0" applyNumberFormat="1"/>
    <xf numFmtId="0" fontId="17" fillId="15" borderId="10" xfId="0" applyFont="1" applyFill="1" applyBorder="1" applyAlignment="1" applyProtection="1">
      <alignment horizontal="left"/>
      <protection hidden="1"/>
    </xf>
    <xf numFmtId="0" fontId="0" fillId="15" borderId="7" xfId="0" applyFill="1" applyBorder="1" applyAlignment="1" applyProtection="1">
      <alignment horizontal="left"/>
      <protection hidden="1"/>
    </xf>
    <xf numFmtId="0" fontId="32" fillId="15" borderId="0" xfId="0" applyFont="1" applyFill="1" applyProtection="1">
      <protection hidden="1"/>
    </xf>
    <xf numFmtId="0" fontId="33" fillId="15" borderId="0" xfId="0" applyFont="1" applyFill="1" applyProtection="1">
      <protection hidden="1"/>
    </xf>
    <xf numFmtId="0" fontId="33" fillId="15" borderId="0" xfId="0" applyFont="1" applyFill="1" applyAlignment="1" applyProtection="1">
      <alignment horizontal="right"/>
      <protection hidden="1"/>
    </xf>
    <xf numFmtId="0" fontId="37" fillId="15" borderId="0" xfId="0" applyFont="1" applyFill="1" applyProtection="1">
      <protection hidden="1"/>
    </xf>
    <xf numFmtId="0" fontId="34" fillId="15" borderId="0" xfId="0" applyFont="1" applyFill="1" applyAlignment="1" applyProtection="1">
      <alignment horizontal="left"/>
      <protection hidden="1"/>
    </xf>
    <xf numFmtId="0" fontId="35" fillId="15" borderId="0" xfId="3" applyFont="1" applyFill="1" applyAlignment="1" applyProtection="1">
      <alignment horizontal="right"/>
      <protection hidden="1"/>
    </xf>
    <xf numFmtId="0" fontId="0" fillId="0" borderId="23" xfId="0" applyBorder="1"/>
    <xf numFmtId="0" fontId="0" fillId="0" borderId="25" xfId="0" applyBorder="1"/>
    <xf numFmtId="0" fontId="0" fillId="0" borderId="24" xfId="0" applyBorder="1"/>
    <xf numFmtId="0" fontId="0" fillId="0" borderId="26" xfId="0" applyBorder="1"/>
    <xf numFmtId="0" fontId="4" fillId="0" borderId="12" xfId="3" applyBorder="1"/>
    <xf numFmtId="0" fontId="3" fillId="0" borderId="10" xfId="3" applyFont="1" applyBorder="1"/>
    <xf numFmtId="0" fontId="3" fillId="0" borderId="11" xfId="3" applyFont="1" applyBorder="1"/>
    <xf numFmtId="1" fontId="0" fillId="8" borderId="0" xfId="0" applyNumberFormat="1" applyFill="1" applyProtection="1">
      <protection hidden="1"/>
    </xf>
    <xf numFmtId="168" fontId="0" fillId="0" borderId="25" xfId="0" applyNumberFormat="1" applyBorder="1" applyProtection="1">
      <protection hidden="1"/>
    </xf>
    <xf numFmtId="168" fontId="0" fillId="15" borderId="10" xfId="0" applyNumberFormat="1" applyFill="1" applyBorder="1" applyProtection="1">
      <protection hidden="1"/>
    </xf>
    <xf numFmtId="0" fontId="0" fillId="16" borderId="0" xfId="0" applyFill="1"/>
    <xf numFmtId="0" fontId="0" fillId="0" borderId="28" xfId="0" applyBorder="1"/>
    <xf numFmtId="0" fontId="37" fillId="8" borderId="0" xfId="0" applyFont="1" applyFill="1" applyProtection="1">
      <protection hidden="1"/>
    </xf>
    <xf numFmtId="0" fontId="33" fillId="15" borderId="2" xfId="0" applyFont="1" applyFill="1" applyBorder="1" applyProtection="1">
      <protection hidden="1"/>
    </xf>
    <xf numFmtId="0" fontId="33" fillId="15" borderId="3" xfId="0" applyFont="1" applyFill="1" applyBorder="1" applyProtection="1">
      <protection hidden="1"/>
    </xf>
    <xf numFmtId="0" fontId="35" fillId="15" borderId="3" xfId="3" applyFont="1" applyFill="1" applyBorder="1" applyAlignment="1" applyProtection="1">
      <alignment horizontal="right"/>
      <protection hidden="1"/>
    </xf>
    <xf numFmtId="0" fontId="35" fillId="15" borderId="4" xfId="3" applyFont="1" applyFill="1" applyBorder="1" applyProtection="1">
      <protection hidden="1"/>
    </xf>
    <xf numFmtId="0" fontId="34" fillId="15" borderId="5" xfId="0" applyFont="1" applyFill="1" applyBorder="1" applyProtection="1">
      <protection hidden="1"/>
    </xf>
    <xf numFmtId="0" fontId="35" fillId="15" borderId="6" xfId="3" applyFont="1" applyFill="1" applyBorder="1" applyProtection="1">
      <protection hidden="1"/>
    </xf>
    <xf numFmtId="0" fontId="33" fillId="15" borderId="5" xfId="0" applyFont="1" applyFill="1" applyBorder="1" applyProtection="1">
      <protection hidden="1"/>
    </xf>
    <xf numFmtId="0" fontId="33" fillId="15" borderId="7" xfId="0" applyFont="1" applyFill="1" applyBorder="1" applyProtection="1">
      <protection hidden="1"/>
    </xf>
    <xf numFmtId="0" fontId="33" fillId="15" borderId="8" xfId="0" applyFont="1" applyFill="1" applyBorder="1" applyProtection="1">
      <protection hidden="1"/>
    </xf>
    <xf numFmtId="0" fontId="35" fillId="15" borderId="8" xfId="3" applyFont="1" applyFill="1" applyBorder="1" applyAlignment="1" applyProtection="1">
      <alignment horizontal="right"/>
      <protection hidden="1"/>
    </xf>
    <xf numFmtId="0" fontId="35" fillId="15" borderId="9" xfId="3" applyFont="1" applyFill="1" applyBorder="1" applyProtection="1">
      <protection hidden="1"/>
    </xf>
    <xf numFmtId="0" fontId="33" fillId="15" borderId="6" xfId="0" applyFont="1" applyFill="1" applyBorder="1" applyProtection="1">
      <protection hidden="1"/>
    </xf>
    <xf numFmtId="0" fontId="33" fillId="15" borderId="8" xfId="0" applyFont="1" applyFill="1" applyBorder="1" applyAlignment="1" applyProtection="1">
      <alignment horizontal="right"/>
      <protection hidden="1"/>
    </xf>
    <xf numFmtId="0" fontId="33" fillId="15" borderId="9" xfId="0" applyFont="1" applyFill="1" applyBorder="1" applyProtection="1">
      <protection hidden="1"/>
    </xf>
    <xf numFmtId="0" fontId="13" fillId="15" borderId="8" xfId="0" applyFont="1" applyFill="1" applyBorder="1" applyAlignment="1" applyProtection="1">
      <alignment horizontal="right"/>
      <protection hidden="1"/>
    </xf>
    <xf numFmtId="168" fontId="0" fillId="15" borderId="26" xfId="0" applyNumberFormat="1" applyFill="1" applyBorder="1" applyProtection="1">
      <protection hidden="1"/>
    </xf>
    <xf numFmtId="0" fontId="0" fillId="0" borderId="30" xfId="0" applyBorder="1"/>
    <xf numFmtId="0" fontId="33" fillId="7" borderId="24" xfId="0" applyFont="1" applyFill="1" applyBorder="1" applyProtection="1">
      <protection locked="0" hidden="1"/>
    </xf>
    <xf numFmtId="0" fontId="33" fillId="7" borderId="25" xfId="0" applyFont="1" applyFill="1" applyBorder="1" applyProtection="1">
      <protection locked="0" hidden="1"/>
    </xf>
    <xf numFmtId="0" fontId="33" fillId="7" borderId="26" xfId="0" applyFont="1" applyFill="1" applyBorder="1" applyProtection="1">
      <protection locked="0" hidden="1"/>
    </xf>
    <xf numFmtId="2" fontId="0" fillId="7" borderId="25" xfId="0" applyNumberFormat="1" applyFill="1" applyBorder="1" applyProtection="1">
      <protection locked="0" hidden="1"/>
    </xf>
    <xf numFmtId="0" fontId="0" fillId="7" borderId="5" xfId="0" applyFill="1" applyBorder="1" applyAlignment="1" applyProtection="1">
      <alignment horizontal="center"/>
      <protection locked="0" hidden="1"/>
    </xf>
    <xf numFmtId="0" fontId="0" fillId="0" borderId="25" xfId="0" applyBorder="1" applyProtection="1">
      <protection hidden="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9"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7" xfId="0" applyBorder="1"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4" fillId="0" borderId="0" xfId="3"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23" fillId="0" borderId="2" xfId="0" applyFont="1" applyBorder="1" applyAlignment="1">
      <alignment horizontal="center"/>
    </xf>
    <xf numFmtId="0" fontId="23" fillId="0" borderId="4" xfId="0" applyFont="1" applyBorder="1" applyAlignment="1">
      <alignment horizontal="center"/>
    </xf>
  </cellXfs>
  <cellStyles count="12">
    <cellStyle name="Comma 2" xfId="5" xr:uid="{00000000-0005-0000-0000-000000000000}"/>
    <cellStyle name="Comma 3" xfId="2" xr:uid="{00000000-0005-0000-0000-000001000000}"/>
    <cellStyle name="Comma 3 2" xfId="8" xr:uid="{00000000-0005-0000-0000-000001000000}"/>
    <cellStyle name="Normal 2" xfId="3" xr:uid="{00000000-0005-0000-0000-000003000000}"/>
    <cellStyle name="Normal 2 2" xfId="9" xr:uid="{00000000-0005-0000-0000-000003000000}"/>
    <cellStyle name="Normal 3" xfId="4" xr:uid="{00000000-0005-0000-0000-000004000000}"/>
    <cellStyle name="Normal 4" xfId="1" xr:uid="{00000000-0005-0000-0000-000005000000}"/>
    <cellStyle name="Normal 4 2" xfId="7" xr:uid="{00000000-0005-0000-0000-000006000000}"/>
    <cellStyle name="Normal 4 2 2" xfId="11" xr:uid="{00000000-0005-0000-0000-000006000000}"/>
    <cellStyle name="Normal 4 3" xfId="6" xr:uid="{00000000-0005-0000-0000-000007000000}"/>
    <cellStyle name="Normal 4 3 2" xfId="10" xr:uid="{00000000-0005-0000-0000-000007000000}"/>
    <cellStyle name="Standard" xfId="0" builtinId="0"/>
  </cellStyles>
  <dxfs count="0"/>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78.969602165554448</c:v>
                </c:pt>
                <c:pt idx="1">
                  <c:v>78.754145440681555</c:v>
                </c:pt>
                <c:pt idx="2">
                  <c:v>78.538019708376353</c:v>
                </c:pt>
                <c:pt idx="3">
                  <c:v>78.321198689069035</c:v>
                </c:pt>
                <c:pt idx="4">
                  <c:v>78.103655305593563</c:v>
                </c:pt>
                <c:pt idx="5">
                  <c:v>77.885361679588769</c:v>
                </c:pt>
                <c:pt idx="6">
                  <c:v>77.666289129951622</c:v>
                </c:pt>
                <c:pt idx="7">
                  <c:v>77.446408173532262</c:v>
                </c:pt>
                <c:pt idx="8">
                  <c:v>77.225688528265522</c:v>
                </c:pt>
                <c:pt idx="9">
                  <c:v>77.004099118941454</c:v>
                </c:pt>
                <c:pt idx="10">
                  <c:v>76.781608085817965</c:v>
                </c:pt>
                <c:pt idx="11">
                  <c:v>76.558182796283091</c:v>
                </c:pt>
                <c:pt idx="12">
                  <c:v>76.333789859775877</c:v>
                </c:pt>
                <c:pt idx="13">
                  <c:v>76.108395146171759</c:v>
                </c:pt>
                <c:pt idx="14">
                  <c:v>75.881963807838673</c:v>
                </c:pt>
                <c:pt idx="15">
                  <c:v>75.654460305563575</c:v>
                </c:pt>
                <c:pt idx="16">
                  <c:v>75.425848438541635</c:v>
                </c:pt>
                <c:pt idx="17">
                  <c:v>75.196091378613247</c:v>
                </c:pt>
                <c:pt idx="18">
                  <c:v>74.96515170891891</c:v>
                </c:pt>
                <c:pt idx="19">
                  <c:v>74.732991467127533</c:v>
                </c:pt>
                <c:pt idx="20">
                  <c:v>74.499572193376608</c:v>
                </c:pt>
                <c:pt idx="21">
                  <c:v>74.264854983039868</c:v>
                </c:pt>
                <c:pt idx="22">
                  <c:v>74.028800544412775</c:v>
                </c:pt>
                <c:pt idx="23">
                  <c:v>73.79136926137906</c:v>
                </c:pt>
                <c:pt idx="24">
                  <c:v>73.552521261088884</c:v>
                </c:pt>
                <c:pt idx="25">
                  <c:v>73.312216486644189</c:v>
                </c:pt>
                <c:pt idx="26">
                  <c:v>73.070414774748286</c:v>
                </c:pt>
                <c:pt idx="27">
                  <c:v>72.827075938235609</c:v>
                </c:pt>
                <c:pt idx="28">
                  <c:v>72.582159853352039</c:v>
                </c:pt>
                <c:pt idx="29">
                  <c:v>72.33562655160982</c:v>
                </c:pt>
                <c:pt idx="30">
                  <c:v>72.087436315991781</c:v>
                </c:pt>
                <c:pt idx="31">
                  <c:v>71.837549781227793</c:v>
                </c:pt>
                <c:pt idx="32">
                  <c:v>71.585928037815037</c:v>
                </c:pt>
                <c:pt idx="33">
                  <c:v>71.33253273939907</c:v>
                </c:pt>
                <c:pt idx="34">
                  <c:v>71.0773262130826</c:v>
                </c:pt>
                <c:pt idx="35">
                  <c:v>70.820271572174235</c:v>
                </c:pt>
                <c:pt idx="36">
                  <c:v>70.561332830840271</c:v>
                </c:pt>
                <c:pt idx="37">
                  <c:v>70.300475020076121</c:v>
                </c:pt>
                <c:pt idx="38">
                  <c:v>70.037664304367993</c:v>
                </c:pt>
                <c:pt idx="39">
                  <c:v>69.772868098376591</c:v>
                </c:pt>
                <c:pt idx="40">
                  <c:v>69.506055182939875</c:v>
                </c:pt>
                <c:pt idx="41">
                  <c:v>69.237195819663668</c:v>
                </c:pt>
                <c:pt idx="42">
                  <c:v>68.96626186334781</c:v>
                </c:pt>
                <c:pt idx="43">
                  <c:v>68.693226871480434</c:v>
                </c:pt>
                <c:pt idx="44">
                  <c:v>68.418066210030105</c:v>
                </c:pt>
                <c:pt idx="45">
                  <c:v>68.140757154766035</c:v>
                </c:pt>
                <c:pt idx="46">
                  <c:v>67.861278987352719</c:v>
                </c:pt>
                <c:pt idx="47">
                  <c:v>67.57961308548505</c:v>
                </c:pt>
                <c:pt idx="48">
                  <c:v>67.295743006363551</c:v>
                </c:pt>
                <c:pt idx="49">
                  <c:v>67.009654562850073</c:v>
                </c:pt>
                <c:pt idx="50">
                  <c:v>66.721335891696071</c:v>
                </c:pt>
                <c:pt idx="51">
                  <c:v>66.430777513292796</c:v>
                </c:pt>
                <c:pt idx="52">
                  <c:v>66.137972382463317</c:v>
                </c:pt>
                <c:pt idx="53">
                  <c:v>65.842915929887582</c:v>
                </c:pt>
                <c:pt idx="54">
                  <c:v>65.545606093835573</c:v>
                </c:pt>
                <c:pt idx="55">
                  <c:v>65.246043341966029</c:v>
                </c:pt>
                <c:pt idx="56">
                  <c:v>64.944230683041894</c:v>
                </c:pt>
                <c:pt idx="57">
                  <c:v>64.640173668501731</c:v>
                </c:pt>
                <c:pt idx="58">
                  <c:v>64.333880383921866</c:v>
                </c:pt>
                <c:pt idx="59">
                  <c:v>64.025361430495408</c:v>
                </c:pt>
                <c:pt idx="60">
                  <c:v>63.71462989674594</c:v>
                </c:pt>
                <c:pt idx="61">
                  <c:v>63.401701320780298</c:v>
                </c:pt>
                <c:pt idx="62">
                  <c:v>63.086593643468333</c:v>
                </c:pt>
                <c:pt idx="63">
                  <c:v>62.76932715301443</c:v>
                </c:pt>
                <c:pt idx="64">
                  <c:v>62.449924421457752</c:v>
                </c:pt>
                <c:pt idx="65">
                  <c:v>62.128410233697792</c:v>
                </c:pt>
                <c:pt idx="66">
                  <c:v>61.804811509698879</c:v>
                </c:pt>
                <c:pt idx="67">
                  <c:v>61.479157220572191</c:v>
                </c:pt>
                <c:pt idx="68">
                  <c:v>61.151478299267936</c:v>
                </c:pt>
                <c:pt idx="69">
                  <c:v>60.821807546639242</c:v>
                </c:pt>
                <c:pt idx="70">
                  <c:v>60.490179533653581</c:v>
                </c:pt>
                <c:pt idx="71">
                  <c:v>60.156630500536451</c:v>
                </c:pt>
                <c:pt idx="72">
                  <c:v>59.821198253629618</c:v>
                </c:pt>
                <c:pt idx="73">
                  <c:v>59.483922060735111</c:v>
                </c:pt>
                <c:pt idx="74">
                  <c:v>59.144842545698822</c:v>
                </c:pt>
                <c:pt idx="75">
                  <c:v>58.804001582959849</c:v>
                </c:pt>
                <c:pt idx="76">
                  <c:v>58.461442192761616</c:v>
                </c:pt>
                <c:pt idx="77">
                  <c:v>58.117208437679579</c:v>
                </c:pt>
                <c:pt idx="78">
                  <c:v>57.771345321081171</c:v>
                </c:pt>
                <c:pt idx="79">
                  <c:v>57.423898688081863</c:v>
                </c:pt>
                <c:pt idx="80">
                  <c:v>57.074915129516341</c:v>
                </c:pt>
                <c:pt idx="81">
                  <c:v>56.724441889387514</c:v>
                </c:pt>
                <c:pt idx="82">
                  <c:v>56.37252677620517</c:v>
                </c:pt>
                <c:pt idx="83">
                  <c:v>56.019218078570276</c:v>
                </c:pt>
                <c:pt idx="84">
                  <c:v>55.664564485309654</c:v>
                </c:pt>
                <c:pt idx="85">
                  <c:v>55.308615010409206</c:v>
                </c:pt>
                <c:pt idx="86">
                  <c:v>54.951418922945038</c:v>
                </c:pt>
                <c:pt idx="87">
                  <c:v>54.593025682161496</c:v>
                </c:pt>
                <c:pt idx="88">
                  <c:v>54.233484877796329</c:v>
                </c:pt>
                <c:pt idx="89">
                  <c:v>53.872846175710862</c:v>
                </c:pt>
                <c:pt idx="90">
                  <c:v>53.511159268837396</c:v>
                </c:pt>
                <c:pt idx="91">
                  <c:v>53.148473833421825</c:v>
                </c:pt>
                <c:pt idx="92">
                  <c:v>52.78483949049857</c:v>
                </c:pt>
                <c:pt idx="93">
                  <c:v>52.420305772506559</c:v>
                </c:pt>
                <c:pt idx="94">
                  <c:v>52.054922094923135</c:v>
                </c:pt>
                <c:pt idx="95">
                  <c:v>51.688737732766945</c:v>
                </c:pt>
                <c:pt idx="96">
                  <c:v>51.321801801797648</c:v>
                </c:pt>
                <c:pt idx="97">
                  <c:v>50.954163244220815</c:v>
                </c:pt>
                <c:pt idx="98">
                  <c:v>50.585870818684917</c:v>
                </c:pt>
                <c:pt idx="99">
                  <c:v>50.216973094348639</c:v>
                </c:pt>
                <c:pt idx="100">
                  <c:v>49.847518448776881</c:v>
                </c:pt>
                <c:pt idx="101">
                  <c:v>49.477555069416603</c:v>
                </c:pt>
                <c:pt idx="102">
                  <c:v>49.107130958395466</c:v>
                </c:pt>
                <c:pt idx="103">
                  <c:v>48.736293940376385</c:v>
                </c:pt>
                <c:pt idx="104">
                  <c:v>48.36509167319663</c:v>
                </c:pt>
                <c:pt idx="105">
                  <c:v>47.993571661015643</c:v>
                </c:pt>
                <c:pt idx="106">
                  <c:v>47.621781269691866</c:v>
                </c:pt>
                <c:pt idx="107">
                  <c:v>47.249767744106336</c:v>
                </c:pt>
                <c:pt idx="108">
                  <c:v>46.877578227148852</c:v>
                </c:pt>
                <c:pt idx="109">
                  <c:v>46.50525978008055</c:v>
                </c:pt>
                <c:pt idx="110">
                  <c:v>46.132859403986757</c:v>
                </c:pt>
                <c:pt idx="111">
                  <c:v>45.760424062032861</c:v>
                </c:pt>
                <c:pt idx="112">
                  <c:v>45.388000702235196</c:v>
                </c:pt>
                <c:pt idx="113">
                  <c:v>45.015636280459645</c:v>
                </c:pt>
                <c:pt idx="114">
                  <c:v>44.64337778335868</c:v>
                </c:pt>
                <c:pt idx="115">
                  <c:v>44.271272250961303</c:v>
                </c:pt>
                <c:pt idx="116">
                  <c:v>43.899366798625167</c:v>
                </c:pt>
                <c:pt idx="117">
                  <c:v>43.527708638065697</c:v>
                </c:pt>
                <c:pt idx="118">
                  <c:v>43.156345097174977</c:v>
                </c:pt>
                <c:pt idx="119">
                  <c:v>42.785323638342277</c:v>
                </c:pt>
                <c:pt idx="120">
                  <c:v>42.414691874994475</c:v>
                </c:pt>
                <c:pt idx="121">
                  <c:v>42.044497586070655</c:v>
                </c:pt>
                <c:pt idx="122">
                  <c:v>41.674788728150574</c:v>
                </c:pt>
                <c:pt idx="123">
                  <c:v>41.305613444959178</c:v>
                </c:pt>
                <c:pt idx="124">
                  <c:v>40.937020073973642</c:v>
                </c:pt>
                <c:pt idx="125">
                  <c:v>40.569057149863468</c:v>
                </c:pt>
                <c:pt idx="126">
                  <c:v>40.201773404501246</c:v>
                </c:pt>
                <c:pt idx="127">
                  <c:v>39.835217763291297</c:v>
                </c:pt>
                <c:pt idx="128">
                  <c:v>39.46943933757079</c:v>
                </c:pt>
                <c:pt idx="129">
                  <c:v>39.10448741284975</c:v>
                </c:pt>
                <c:pt idx="130">
                  <c:v>38.74041143267403</c:v>
                </c:pt>
                <c:pt idx="131">
                  <c:v>38.377260977906602</c:v>
                </c:pt>
                <c:pt idx="132">
                  <c:v>38.015085741245613</c:v>
                </c:pt>
                <c:pt idx="133">
                  <c:v>37.653935496816551</c:v>
                </c:pt>
                <c:pt idx="134">
                  <c:v>37.293860064703267</c:v>
                </c:pt>
                <c:pt idx="135">
                  <c:v>36.934909270308317</c:v>
                </c:pt>
                <c:pt idx="136">
                  <c:v>36.577132898464029</c:v>
                </c:pt>
                <c:pt idx="137">
                  <c:v>36.220580642252081</c:v>
                </c:pt>
                <c:pt idx="138">
                  <c:v>35.865302046524292</c:v>
                </c:pt>
                <c:pt idx="139">
                  <c:v>35.511346446158022</c:v>
                </c:pt>
                <c:pt idx="140">
                  <c:v>35.158762899124717</c:v>
                </c:pt>
                <c:pt idx="141">
                  <c:v>34.807600114494136</c:v>
                </c:pt>
                <c:pt idx="142">
                  <c:v>34.457906375546365</c:v>
                </c:pt>
                <c:pt idx="143">
                  <c:v>34.109729458215348</c:v>
                </c:pt>
                <c:pt idx="144">
                  <c:v>33.763116545137571</c:v>
                </c:pt>
                <c:pt idx="145">
                  <c:v>33.418114135635477</c:v>
                </c:pt>
                <c:pt idx="146">
                  <c:v>33.07476795201832</c:v>
                </c:pt>
                <c:pt idx="147">
                  <c:v>32.73312284263654</c:v>
                </c:pt>
                <c:pt idx="148">
                  <c:v>32.393222682179868</c:v>
                </c:pt>
                <c:pt idx="149">
                  <c:v>32.055110269759382</c:v>
                </c:pt>
                <c:pt idx="150">
                  <c:v>31.718827225363828</c:v>
                </c:pt>
                <c:pt idx="151">
                  <c:v>31.384413885324676</c:v>
                </c:pt>
                <c:pt idx="152">
                  <c:v>31.051909197466333</c:v>
                </c:pt>
                <c:pt idx="153">
                  <c:v>30.721350616652661</c:v>
                </c:pt>
                <c:pt idx="154">
                  <c:v>30.39277400147181</c:v>
                </c:pt>
                <c:pt idx="155">
                  <c:v>30.066213512822753</c:v>
                </c:pt>
                <c:pt idx="156">
                  <c:v>29.741701515183514</c:v>
                </c:pt>
                <c:pt idx="157">
                  <c:v>29.419268481345547</c:v>
                </c:pt>
                <c:pt idx="158">
                  <c:v>29.098942901399617</c:v>
                </c:pt>
                <c:pt idx="159">
                  <c:v>28.780751196744593</c:v>
                </c:pt>
                <c:pt idx="160">
                  <c:v>28.464717639868976</c:v>
                </c:pt>
                <c:pt idx="161">
                  <c:v>28.150864280629296</c:v>
                </c:pt>
                <c:pt idx="162">
                  <c:v>27.839210879701724</c:v>
                </c:pt>
                <c:pt idx="163">
                  <c:v>27.529774849840308</c:v>
                </c:pt>
                <c:pt idx="164">
                  <c:v>27.222571205514626</c:v>
                </c:pt>
                <c:pt idx="165">
                  <c:v>26.91761252143186</c:v>
                </c:pt>
                <c:pt idx="166">
                  <c:v>26.614908900377728</c:v>
                </c:pt>
                <c:pt idx="167">
                  <c:v>26.314467950728002</c:v>
                </c:pt>
                <c:pt idx="168">
                  <c:v>26.016294773898974</c:v>
                </c:pt>
                <c:pt idx="169">
                  <c:v>25.720391961914761</c:v>
                </c:pt>
                <c:pt idx="170">
                  <c:v>25.426759605179758</c:v>
                </c:pt>
                <c:pt idx="171">
                  <c:v>25.135395310448896</c:v>
                </c:pt>
                <c:pt idx="172">
                  <c:v>24.846294228898003</c:v>
                </c:pt>
                <c:pt idx="173">
                  <c:v>24.559449094105588</c:v>
                </c:pt>
                <c:pt idx="174">
                  <c:v>24.274850269666658</c:v>
                </c:pt>
                <c:pt idx="175">
                  <c:v>23.99248580607988</c:v>
                </c:pt>
                <c:pt idx="176">
                  <c:v>23.712341506468483</c:v>
                </c:pt>
                <c:pt idx="177">
                  <c:v>23.434401000624554</c:v>
                </c:pt>
                <c:pt idx="178">
                  <c:v>23.158645826802811</c:v>
                </c:pt>
                <c:pt idx="179">
                  <c:v>22.885055520635706</c:v>
                </c:pt>
                <c:pt idx="180">
                  <c:v>22.613607710493607</c:v>
                </c:pt>
                <c:pt idx="181">
                  <c:v>22.344278218577223</c:v>
                </c:pt>
                <c:pt idx="182">
                  <c:v>22.077041167002911</c:v>
                </c:pt>
                <c:pt idx="183">
                  <c:v>21.811869088122524</c:v>
                </c:pt>
                <c:pt idx="184">
                  <c:v>21.548733038311852</c:v>
                </c:pt>
                <c:pt idx="185">
                  <c:v>21.287602714461187</c:v>
                </c:pt>
                <c:pt idx="186">
                  <c:v>21.028446572413365</c:v>
                </c:pt>
                <c:pt idx="187">
                  <c:v>20.771231946608253</c:v>
                </c:pt>
                <c:pt idx="188">
                  <c:v>20.515925170221522</c:v>
                </c:pt>
                <c:pt idx="189">
                  <c:v>20.2624916951148</c:v>
                </c:pt>
                <c:pt idx="190">
                  <c:v>20.010896210950861</c:v>
                </c:pt>
                <c:pt idx="191">
                  <c:v>19.76110276287185</c:v>
                </c:pt>
                <c:pt idx="192">
                  <c:v>19.513074867182439</c:v>
                </c:pt>
                <c:pt idx="193">
                  <c:v>19.266775624529416</c:v>
                </c:pt>
                <c:pt idx="194">
                  <c:v>19.022167830121415</c:v>
                </c:pt>
                <c:pt idx="195">
                  <c:v>18.779214080583579</c:v>
                </c:pt>
                <c:pt idx="196">
                  <c:v>18.537876877095179</c:v>
                </c:pt>
                <c:pt idx="197">
                  <c:v>18.298118724512481</c:v>
                </c:pt>
                <c:pt idx="198">
                  <c:v>18.059902226229145</c:v>
                </c:pt>
                <c:pt idx="199">
                  <c:v>17.823190174577491</c:v>
                </c:pt>
                <c:pt idx="200">
                  <c:v>17.587945636622997</c:v>
                </c:pt>
                <c:pt idx="201">
                  <c:v>17.35413203525005</c:v>
                </c:pt>
                <c:pt idx="202">
                  <c:v>17.121713225478842</c:v>
                </c:pt>
                <c:pt idx="203">
                  <c:v>16.890653565996473</c:v>
                </c:pt>
                <c:pt idx="204">
                  <c:v>16.660917985918331</c:v>
                </c:pt>
                <c:pt idx="205">
                  <c:v>16.432472046832977</c:v>
                </c:pt>
                <c:pt idx="206">
                  <c:v>16.205282000210566</c:v>
                </c:pt>
                <c:pt idx="207">
                  <c:v>15.979314840284392</c:v>
                </c:pt>
                <c:pt idx="208">
                  <c:v>15.75453835253618</c:v>
                </c:pt>
                <c:pt idx="209">
                  <c:v>15.530921157935262</c:v>
                </c:pt>
                <c:pt idx="210">
                  <c:v>15.308432753101336</c:v>
                </c:pt>
                <c:pt idx="211">
                  <c:v>15.087043546568646</c:v>
                </c:pt>
                <c:pt idx="212">
                  <c:v>14.866724891347049</c:v>
                </c:pt>
                <c:pt idx="213">
                  <c:v>14.647449113975137</c:v>
                </c:pt>
                <c:pt idx="214">
                  <c:v>14.429189540272809</c:v>
                </c:pt>
                <c:pt idx="215">
                  <c:v>14.211920517999877</c:v>
                </c:pt>
                <c:pt idx="216">
                  <c:v>13.99561743662742</c:v>
                </c:pt>
                <c:pt idx="217">
                  <c:v>13.780256744431389</c:v>
                </c:pt>
                <c:pt idx="218">
                  <c:v>13.565815963110211</c:v>
                </c:pt>
                <c:pt idx="219">
                  <c:v>13.352273700127011</c:v>
                </c:pt>
                <c:pt idx="220">
                  <c:v>13.139609658970436</c:v>
                </c:pt>
                <c:pt idx="221">
                  <c:v>12.927804647519832</c:v>
                </c:pt>
                <c:pt idx="222">
                  <c:v>12.716840584694534</c:v>
                </c:pt>
                <c:pt idx="223">
                  <c:v>12.506700505556891</c:v>
                </c:pt>
                <c:pt idx="224">
                  <c:v>12.297368565028339</c:v>
                </c:pt>
                <c:pt idx="225">
                  <c:v>12.088830040370265</c:v>
                </c:pt>
                <c:pt idx="226">
                  <c:v>11.881071332566847</c:v>
                </c:pt>
                <c:pt idx="227">
                  <c:v>11.674079966739432</c:v>
                </c:pt>
                <c:pt idx="228">
                  <c:v>11.4678445917083</c:v>
                </c:pt>
                <c:pt idx="229">
                  <c:v>11.262354978806414</c:v>
                </c:pt>
                <c:pt idx="230">
                  <c:v>11.057602020038356</c:v>
                </c:pt>
                <c:pt idx="231">
                  <c:v>10.853577725664591</c:v>
                </c:pt>
                <c:pt idx="232">
                  <c:v>10.650275221280037</c:v>
                </c:pt>
                <c:pt idx="233">
                  <c:v>10.447688744442285</c:v>
                </c:pt>
                <c:pt idx="234">
                  <c:v>10.245813640893914</c:v>
                </c:pt>
                <c:pt idx="235">
                  <c:v>10.044646360410292</c:v>
                </c:pt>
                <c:pt idx="236">
                  <c:v>9.8441844522910706</c:v>
                </c:pt>
                <c:pt idx="237">
                  <c:v>9.644426560503172</c:v>
                </c:pt>
                <c:pt idx="238">
                  <c:v>9.4453724184692298</c:v>
                </c:pt>
                <c:pt idx="239">
                  <c:v>9.2470228434838635</c:v>
                </c:pt>
                <c:pt idx="240">
                  <c:v>9.0493797307268924</c:v>
                </c:pt>
                <c:pt idx="241">
                  <c:v>8.8524460468327693</c:v>
                </c:pt>
                <c:pt idx="242">
                  <c:v>8.6562258229613374</c:v>
                </c:pt>
                <c:pt idx="243">
                  <c:v>8.4607241473035781</c:v>
                </c:pt>
                <c:pt idx="244">
                  <c:v>8.2659471569453267</c:v>
                </c:pt>
                <c:pt idx="245">
                  <c:v>8.0719020289989878</c:v>
                </c:pt>
                <c:pt idx="246">
                  <c:v>7.8785969709034243</c:v>
                </c:pt>
                <c:pt idx="247">
                  <c:v>7.6860412097789883</c:v>
                </c:pt>
                <c:pt idx="248">
                  <c:v>7.4942449807167408</c:v>
                </c:pt>
                <c:pt idx="249">
                  <c:v>7.3032195138680684</c:v>
                </c:pt>
                <c:pt idx="250">
                  <c:v>7.1129770201933198</c:v>
                </c:pt>
                <c:pt idx="251">
                  <c:v>6.9235306757160071</c:v>
                </c:pt>
                <c:pt idx="252">
                  <c:v>6.7348946041249045</c:v>
                </c:pt>
                <c:pt idx="253">
                  <c:v>6.5470838575535435</c:v>
                </c:pt>
                <c:pt idx="254">
                  <c:v>6.360114395364473</c:v>
                </c:pt>
                <c:pt idx="255">
                  <c:v>6.1740030607573315</c:v>
                </c:pt>
                <c:pt idx="256">
                  <c:v>5.9887675550162172</c:v>
                </c:pt>
                <c:pt idx="257">
                  <c:v>5.8044264092093689</c:v>
                </c:pt>
                <c:pt idx="258">
                  <c:v>5.6209989531521822</c:v>
                </c:pt>
                <c:pt idx="259">
                  <c:v>5.4385052814457735</c:v>
                </c:pt>
                <c:pt idx="260">
                  <c:v>5.2569662164055897</c:v>
                </c:pt>
                <c:pt idx="261">
                  <c:v>5.0764032677001536</c:v>
                </c:pt>
                <c:pt idx="262">
                  <c:v>4.8968385885260455</c:v>
                </c:pt>
                <c:pt idx="263">
                  <c:v>4.7182949281562694</c:v>
                </c:pt>
                <c:pt idx="264">
                  <c:v>4.5407955807126195</c:v>
                </c:pt>
                <c:pt idx="265">
                  <c:v>4.3643643300275796</c:v>
                </c:pt>
                <c:pt idx="266">
                  <c:v>4.1890253904791557</c:v>
                </c:pt>
                <c:pt idx="267">
                  <c:v>4.0148033437103168</c:v>
                </c:pt>
                <c:pt idx="268">
                  <c:v>3.8417230711634334</c:v>
                </c:pt>
                <c:pt idx="269">
                  <c:v>3.6698096823966955</c:v>
                </c:pt>
                <c:pt idx="270">
                  <c:v>3.4990884391773043</c:v>
                </c:pt>
                <c:pt idx="271">
                  <c:v>3.3295846753910241</c:v>
                </c:pt>
                <c:pt idx="272">
                  <c:v>3.1613237128394509</c:v>
                </c:pt>
                <c:pt idx="273">
                  <c:v>2.9943307730496995</c:v>
                </c:pt>
                <c:pt idx="274">
                  <c:v>2.8286308852638475</c:v>
                </c:pt>
                <c:pt idx="275">
                  <c:v>2.6642487908283292</c:v>
                </c:pt>
                <c:pt idx="276">
                  <c:v>2.5012088442584721</c:v>
                </c:pt>
                <c:pt idx="277">
                  <c:v>2.3395349113064774</c:v>
                </c:pt>
                <c:pt idx="278">
                  <c:v>2.1792502644242226</c:v>
                </c:pt>
                <c:pt idx="279">
                  <c:v>2.0203774760656543</c:v>
                </c:pt>
                <c:pt idx="280">
                  <c:v>1.8629383103390671</c:v>
                </c:pt>
                <c:pt idx="281">
                  <c:v>1.7069536135753078</c:v>
                </c:pt>
                <c:pt idx="282">
                  <c:v>1.5524432044368304</c:v>
                </c:pt>
                <c:pt idx="283">
                  <c:v>1.3994257642526184</c:v>
                </c:pt>
                <c:pt idx="284">
                  <c:v>1.247918728311344</c:v>
                </c:pt>
                <c:pt idx="285">
                  <c:v>1.0979381788992593</c:v>
                </c:pt>
                <c:pt idx="286">
                  <c:v>0.94949874091356068</c:v>
                </c:pt>
                <c:pt idx="287">
                  <c:v>0.80261348091472096</c:v>
                </c:pt>
                <c:pt idx="288">
                  <c:v>0.65729381051970681</c:v>
                </c:pt>
                <c:pt idx="289">
                  <c:v>0.51354939505510888</c:v>
                </c:pt>
                <c:pt idx="290">
                  <c:v>0.37138806840399546</c:v>
                </c:pt>
                <c:pt idx="291">
                  <c:v>0.23081575498696305</c:v>
                </c:pt>
                <c:pt idx="292">
                  <c:v>9.1836399803930241E-2</c:v>
                </c:pt>
                <c:pt idx="293">
                  <c:v>-4.5548092546455199E-2</c:v>
                </c:pt>
                <c:pt idx="294">
                  <c:v>-0.18133790899305441</c:v>
                </c:pt>
                <c:pt idx="295">
                  <c:v>-0.31553536842078406</c:v>
                </c:pt>
                <c:pt idx="296">
                  <c:v>-0.44814495062000503</c:v>
                </c:pt>
                <c:pt idx="297">
                  <c:v>-0.57917331303807218</c:v>
                </c:pt>
                <c:pt idx="298">
                  <c:v>-0.70862929469438607</c:v>
                </c:pt>
                <c:pt idx="299">
                  <c:v>-0.83652390671043908</c:v>
                </c:pt>
                <c:pt idx="300">
                  <c:v>-0.96287030900611292</c:v>
                </c:pt>
                <c:pt idx="301">
                  <c:v>-1.0876837728259519</c:v>
                </c:pt>
                <c:pt idx="302">
                  <c:v>-1.2109816288747417</c:v>
                </c:pt>
                <c:pt idx="303">
                  <c:v>-1.3327832009719729</c:v>
                </c:pt>
                <c:pt idx="304">
                  <c:v>-1.4531097252636846</c:v>
                </c:pt>
                <c:pt idx="305">
                  <c:v>-1.571984255170777</c:v>
                </c:pt>
                <c:pt idx="306">
                  <c:v>-1.6894315523897598</c:v>
                </c:pt>
                <c:pt idx="307">
                  <c:v>-1.8054779644039998</c:v>
                </c:pt>
                <c:pt idx="308">
                  <c:v>-1.9201512891058412</c:v>
                </c:pt>
                <c:pt idx="309">
                  <c:v>-2.0334806272667789</c:v>
                </c:pt>
                <c:pt idx="310">
                  <c:v>-2.1454962237268065</c:v>
                </c:pt>
                <c:pt idx="311">
                  <c:v>-2.2562292983067302</c:v>
                </c:pt>
                <c:pt idx="312">
                  <c:v>-2.36571186756461</c:v>
                </c:pt>
                <c:pt idx="313">
                  <c:v>-2.4739765586346723</c:v>
                </c:pt>
                <c:pt idx="314">
                  <c:v>-2.5810564164872476</c:v>
                </c:pt>
                <c:pt idx="315">
                  <c:v>-2.6869847060414038</c:v>
                </c:pt>
                <c:pt idx="316">
                  <c:v>-2.7917947106398477</c:v>
                </c:pt>
                <c:pt idx="317">
                  <c:v>-2.8955195284620272</c:v>
                </c:pt>
                <c:pt idx="318">
                  <c:v>-2.9981918684995197</c:v>
                </c:pt>
                <c:pt idx="319">
                  <c:v>-3.0998438477543759</c:v>
                </c:pt>
                <c:pt idx="320">
                  <c:v>-3.2005067913393108</c:v>
                </c:pt>
                <c:pt idx="321">
                  <c:v>-3.3002110371593982</c:v>
                </c:pt>
                <c:pt idx="322">
                  <c:v>-3.3989857468419844</c:v>
                </c:pt>
                <c:pt idx="323">
                  <c:v>-3.4968587245470051</c:v>
                </c:pt>
                <c:pt idx="324">
                  <c:v>-3.5938562452430487</c:v>
                </c:pt>
                <c:pt idx="325">
                  <c:v>-3.6900028939671592</c:v>
                </c:pt>
                <c:pt idx="326">
                  <c:v>-3.7853214175040453</c:v>
                </c:pt>
                <c:pt idx="327">
                  <c:v>-3.8798325898228643</c:v>
                </c:pt>
                <c:pt idx="328">
                  <c:v>-3.9735550924957428</c:v>
                </c:pt>
                <c:pt idx="329">
                  <c:v>-4.0665054111940986</c:v>
                </c:pt>
                <c:pt idx="330">
                  <c:v>-4.1586977492212158</c:v>
                </c:pt>
                <c:pt idx="331">
                  <c:v>-4.2501439588838092</c:v>
                </c:pt>
                <c:pt idx="332">
                  <c:v>-4.3408534913456389</c:v>
                </c:pt>
                <c:pt idx="333">
                  <c:v>-4.4308333654355216</c:v>
                </c:pt>
                <c:pt idx="334">
                  <c:v>-4.5200881557048502</c:v>
                </c:pt>
                <c:pt idx="335">
                  <c:v>-4.6086199998479414</c:v>
                </c:pt>
                <c:pt idx="336">
                  <c:v>-4.6964286254135832</c:v>
                </c:pt>
                <c:pt idx="337">
                  <c:v>-4.7835113955556272</c:v>
                </c:pt>
                <c:pt idx="338">
                  <c:v>-4.8698633733822057</c:v>
                </c:pt>
                <c:pt idx="339">
                  <c:v>-4.9554774042899172</c:v>
                </c:pt>
                <c:pt idx="340">
                  <c:v>-5.0403442154949696</c:v>
                </c:pt>
                <c:pt idx="341">
                  <c:v>-5.1244525318100829</c:v>
                </c:pt>
                <c:pt idx="342">
                  <c:v>-5.2077892065643194</c:v>
                </c:pt>
                <c:pt idx="343">
                  <c:v>-5.290339366422721</c:v>
                </c:pt>
                <c:pt idx="344">
                  <c:v>-5.3720865687364983</c:v>
                </c:pt>
                <c:pt idx="345">
                  <c:v>-5.4530129699457683</c:v>
                </c:pt>
                <c:pt idx="346">
                  <c:v>-5.5330995034671426</c:v>
                </c:pt>
                <c:pt idx="347">
                  <c:v>-5.6123260654210139</c:v>
                </c:pt>
                <c:pt idx="348">
                  <c:v>-5.6906717065044807</c:v>
                </c:pt>
                <c:pt idx="349">
                  <c:v>-5.7681148282803152</c:v>
                </c:pt>
                <c:pt idx="350">
                  <c:v>-5.8446333821403629</c:v>
                </c:pt>
                <c:pt idx="351">
                  <c:v>-5.92020506920956</c:v>
                </c:pt>
                <c:pt idx="352">
                  <c:v>-5.9948075394844231</c:v>
                </c:pt>
                <c:pt idx="353">
                  <c:v>-6.0684185885485604</c:v>
                </c:pt>
                <c:pt idx="354">
                  <c:v>-6.1410163502714576</c:v>
                </c:pt>
                <c:pt idx="355">
                  <c:v>-6.212579483983335</c:v>
                </c:pt>
                <c:pt idx="356">
                  <c:v>-6.2830873547154251</c:v>
                </c:pt>
                <c:pt idx="357">
                  <c:v>-6.3525202052113583</c:v>
                </c:pt>
                <c:pt idx="358">
                  <c:v>-6.4208593185375706</c:v>
                </c:pt>
                <c:pt idx="359">
                  <c:v>-6.488087170262431</c:v>
                </c:pt>
                <c:pt idx="360">
                  <c:v>-6.5541875693114413</c:v>
                </c:pt>
                <c:pt idx="361">
                  <c:v>-6.6191457867626156</c:v>
                </c:pt>
                <c:pt idx="362">
                  <c:v>-6.6829486719952556</c:v>
                </c:pt>
                <c:pt idx="363">
                  <c:v>-6.7455847557635806</c:v>
                </c:pt>
                <c:pt idx="364">
                  <c:v>-6.8070443399185097</c:v>
                </c:pt>
                <c:pt idx="365">
                  <c:v>-6.8673195736555979</c:v>
                </c:pt>
                <c:pt idx="366">
                  <c:v>-6.9264045163100381</c:v>
                </c:pt>
                <c:pt idx="367">
                  <c:v>-6.9842951868620284</c:v>
                </c:pt>
                <c:pt idx="368">
                  <c:v>-7.0409896004451138</c:v>
                </c:pt>
                <c:pt idx="369">
                  <c:v>-7.0964877922727574</c:v>
                </c:pt>
                <c:pt idx="370">
                  <c:v>-7.1507918295091919</c:v>
                </c:pt>
                <c:pt idx="371">
                  <c:v>-7.2039058117054875</c:v>
                </c:pt>
                <c:pt idx="372">
                  <c:v>-7.2558358605135513</c:v>
                </c:pt>
                <c:pt idx="373">
                  <c:v>-7.3065900994576278</c:v>
                </c:pt>
                <c:pt idx="374">
                  <c:v>-7.3561786246056897</c:v>
                </c:pt>
                <c:pt idx="375">
                  <c:v>-7.4046134670291579</c:v>
                </c:pt>
                <c:pt idx="376">
                  <c:v>-7.45190854797145</c:v>
                </c:pt>
                <c:pt idx="377">
                  <c:v>-7.49807962766684</c:v>
                </c:pt>
                <c:pt idx="378">
                  <c:v>-7.5431442487646034</c:v>
                </c:pt>
                <c:pt idx="379">
                  <c:v>-7.5871216753033135</c:v>
                </c:pt>
                <c:pt idx="380">
                  <c:v>-7.630032828177006</c:v>
                </c:pt>
                <c:pt idx="381">
                  <c:v>-7.6719002180090943</c:v>
                </c:pt>
                <c:pt idx="382">
                  <c:v>-7.7127478763223758</c:v>
                </c:pt>
                <c:pt idx="383">
                  <c:v>-7.7526012858583826</c:v>
                </c:pt>
                <c:pt idx="384">
                  <c:v>-7.79148731085699</c:v>
                </c:pt>
                <c:pt idx="385">
                  <c:v>-7.8294341280634496</c:v>
                </c:pt>
                <c:pt idx="386">
                  <c:v>-7.8664711591774639</c:v>
                </c:pt>
                <c:pt idx="387">
                  <c:v>-7.9026290054118631</c:v>
                </c:pt>
                <c:pt idx="388">
                  <c:v>-7.9379393847692814</c:v>
                </c:pt>
                <c:pt idx="389">
                  <c:v>-7.9724350725979711</c:v>
                </c:pt>
                <c:pt idx="390">
                  <c:v>-8.0061498459296097</c:v>
                </c:pt>
                <c:pt idx="391">
                  <c:v>-8.0391184320519891</c:v>
                </c:pt>
                <c:pt idx="392">
                  <c:v>-8.0713764617176729</c:v>
                </c:pt>
                <c:pt idx="393">
                  <c:v>-8.1029604273429854</c:v>
                </c:pt>
                <c:pt idx="394">
                  <c:v>-8.1339076465022089</c:v>
                </c:pt>
                <c:pt idx="395">
                  <c:v>-8.1642562309815201</c:v>
                </c:pt>
                <c:pt idx="396">
                  <c:v>-8.1940450616175813</c:v>
                </c:pt>
                <c:pt idx="397">
                  <c:v>-8.2233137691056939</c:v>
                </c:pt>
                <c:pt idx="398">
                  <c:v>-8.2521027209326245</c:v>
                </c:pt>
                <c:pt idx="399">
                  <c:v>-8.2804530145577893</c:v>
                </c:pt>
                <c:pt idx="400">
                  <c:v>-8.3084064769384334</c:v>
                </c:pt>
                <c:pt idx="401">
                  <c:v>-8.3360056704732202</c:v>
                </c:pt>
                <c:pt idx="402">
                  <c:v>-8.3632939054152882</c:v>
                </c:pt>
                <c:pt idx="403">
                  <c:v>-8.3903152587907144</c:v>
                </c:pt>
                <c:pt idx="404">
                  <c:v>-8.4171145998385413</c:v>
                </c:pt>
                <c:pt idx="405">
                  <c:v>-8.4437376219772435</c:v>
                </c:pt>
                <c:pt idx="406">
                  <c:v>-8.4702308812910019</c:v>
                </c:pt>
                <c:pt idx="407">
                  <c:v>-8.4966418415121208</c:v>
                </c:pt>
                <c:pt idx="408">
                  <c:v>-8.5230189254742488</c:v>
                </c:pt>
                <c:pt idx="409">
                  <c:v>-8.5494115729894062</c:v>
                </c:pt>
                <c:pt idx="410">
                  <c:v>-8.5758703051000555</c:v>
                </c:pt>
                <c:pt idx="411">
                  <c:v>-8.6024467946395884</c:v>
                </c:pt>
                <c:pt idx="412">
                  <c:v>-8.6291939430191285</c:v>
                </c:pt>
                <c:pt idx="413">
                  <c:v>-8.6561659631483003</c:v>
                </c:pt>
                <c:pt idx="414">
                  <c:v>-8.683418468368977</c:v>
                </c:pt>
                <c:pt idx="415">
                  <c:v>-8.7110085672632671</c:v>
                </c:pt>
                <c:pt idx="416">
                  <c:v>-8.7389949641656415</c:v>
                </c:pt>
                <c:pt idx="417">
                  <c:v>-8.7674380651729411</c:v>
                </c:pt>
                <c:pt idx="418">
                  <c:v>-8.7964000894087544</c:v>
                </c:pt>
                <c:pt idx="419">
                  <c:v>-8.8259451852449704</c:v>
                </c:pt>
                <c:pt idx="420">
                  <c:v>-8.8561395511299246</c:v>
                </c:pt>
                <c:pt idx="421">
                  <c:v>-8.8870515606025311</c:v>
                </c:pt>
                <c:pt idx="422">
                  <c:v>-8.9187518909992711</c:v>
                </c:pt>
                <c:pt idx="423">
                  <c:v>-8.9513136552642276</c:v>
                </c:pt>
                <c:pt idx="424">
                  <c:v>-8.9848125361816429</c:v>
                </c:pt>
                <c:pt idx="425">
                  <c:v>-9.0193269222269752</c:v>
                </c:pt>
                <c:pt idx="426">
                  <c:v>-9.0549380441103509</c:v>
                </c:pt>
                <c:pt idx="427">
                  <c:v>-9.0917301109428088</c:v>
                </c:pt>
                <c:pt idx="428">
                  <c:v>-9.129790444796658</c:v>
                </c:pt>
                <c:pt idx="429">
                  <c:v>-9.169209612261648</c:v>
                </c:pt>
                <c:pt idx="430">
                  <c:v>-9.210081551413424</c:v>
                </c:pt>
                <c:pt idx="431">
                  <c:v>-9.2525036924079984</c:v>
                </c:pt>
                <c:pt idx="432">
                  <c:v>-9.2965770697085954</c:v>
                </c:pt>
                <c:pt idx="433">
                  <c:v>-9.3424064237261035</c:v>
                </c:pt>
                <c:pt idx="434">
                  <c:v>-9.3901002894284105</c:v>
                </c:pt>
                <c:pt idx="435">
                  <c:v>-9.4397710692410346</c:v>
                </c:pt>
                <c:pt idx="436">
                  <c:v>-9.4915350873312061</c:v>
                </c:pt>
                <c:pt idx="437">
                  <c:v>-9.5455126221453632</c:v>
                </c:pt>
                <c:pt idx="438">
                  <c:v>-9.6018279138620084</c:v>
                </c:pt>
                <c:pt idx="439">
                  <c:v>-9.6606091432361314</c:v>
                </c:pt>
                <c:pt idx="440">
                  <c:v>-9.7219883781616172</c:v>
                </c:pt>
                <c:pt idx="441">
                  <c:v>-9.7861014841678919</c:v>
                </c:pt>
                <c:pt idx="442">
                  <c:v>-9.8530879950182015</c:v>
                </c:pt>
                <c:pt idx="443">
                  <c:v>-9.9230909395905744</c:v>
                </c:pt>
                <c:pt idx="444">
                  <c:v>-9.9962566213278414</c:v>
                </c:pt>
                <c:pt idx="445">
                  <c:v>-10.072734346737157</c:v>
                </c:pt>
                <c:pt idx="446">
                  <c:v>-10.152676099729021</c:v>
                </c:pt>
                <c:pt idx="447">
                  <c:v>-10.236236159019063</c:v>
                </c:pt>
                <c:pt idx="448">
                  <c:v>-10.323570656379671</c:v>
                </c:pt>
                <c:pt idx="449">
                  <c:v>-10.414837074237619</c:v>
                </c:pt>
                <c:pt idx="450">
                  <c:v>-10.510193681972551</c:v>
                </c:pt>
                <c:pt idx="451">
                  <c:v>-10.609798911269397</c:v>
                </c:pt>
                <c:pt idx="452">
                  <c:v>-10.713810672022802</c:v>
                </c:pt>
                <c:pt idx="453">
                  <c:v>-10.822385611565332</c:v>
                </c:pt>
                <c:pt idx="454">
                  <c:v>-10.935678321364705</c:v>
                </c:pt>
                <c:pt idx="455">
                  <c:v>-11.053840496800317</c:v>
                </c:pt>
                <c:pt idx="456">
                  <c:v>-11.177020057126608</c:v>
                </c:pt>
                <c:pt idx="457">
                  <c:v>-11.305360234238893</c:v>
                </c:pt>
                <c:pt idx="458">
                  <c:v>-11.43899864030179</c:v>
                </c:pt>
                <c:pt idx="459">
                  <c:v>-11.578066325656826</c:v>
                </c:pt>
                <c:pt idx="460">
                  <c:v>-11.722686839596484</c:v>
                </c:pt>
                <c:pt idx="461">
                  <c:v>-11.872975307557255</c:v>
                </c:pt>
                <c:pt idx="462">
                  <c:v>-12.029037538959027</c:v>
                </c:pt>
                <c:pt idx="463">
                  <c:v>-12.190969180263899</c:v>
                </c:pt>
                <c:pt idx="464">
                  <c:v>-12.358854927797934</c:v>
                </c:pt>
                <c:pt idx="465">
                  <c:v>-12.532767814464682</c:v>
                </c:pt>
                <c:pt idx="466">
                  <c:v>-12.712768583622546</c:v>
                </c:pt>
                <c:pt idx="467">
                  <c:v>-12.898905162162187</c:v>
                </c:pt>
                <c:pt idx="468">
                  <c:v>-13.09121224317694</c:v>
                </c:pt>
                <c:pt idx="469">
                  <c:v>-13.289710986639136</c:v>
                </c:pt>
                <c:pt idx="470">
                  <c:v>-13.494408844231904</c:v>
                </c:pt>
                <c:pt idx="471">
                  <c:v>-13.705299511997616</c:v>
                </c:pt>
                <c:pt idx="472">
                  <c:v>-13.92236301186281</c:v>
                </c:pt>
                <c:pt idx="473">
                  <c:v>-14.145565900448245</c:v>
                </c:pt>
                <c:pt idx="474">
                  <c:v>-14.374861600984071</c:v>
                </c:pt>
                <c:pt idx="475">
                  <c:v>-14.610190851706777</c:v>
                </c:pt>
                <c:pt idx="476">
                  <c:v>-14.851482261901731</c:v>
                </c:pt>
                <c:pt idx="477">
                  <c:v>-15.098652964835221</c:v>
                </c:pt>
                <c:pt idx="478">
                  <c:v>-15.351609355271014</c:v>
                </c:pt>
                <c:pt idx="479">
                  <c:v>-15.610247898087659</c:v>
                </c:pt>
                <c:pt idx="480">
                  <c:v>-15.874455993766812</c:v>
                </c:pt>
                <c:pt idx="481">
                  <c:v>-16.144112886175527</c:v>
                </c:pt>
                <c:pt idx="482">
                  <c:v>-16.419090598121596</c:v>
                </c:pt>
                <c:pt idx="483">
                  <c:v>-16.699254880574927</c:v>
                </c:pt>
                <c:pt idx="484">
                  <c:v>-16.984466162191577</c:v>
                </c:pt>
                <c:pt idx="485">
                  <c:v>-17.274580486780774</c:v>
                </c:pt>
                <c:pt idx="486">
                  <c:v>-17.569450427579049</c:v>
                </c:pt>
                <c:pt idx="487">
                  <c:v>-17.868925968564049</c:v>
                </c:pt>
                <c:pt idx="488">
                  <c:v>-18.172855344509212</c:v>
                </c:pt>
                <c:pt idx="489">
                  <c:v>-18.481085832987453</c:v>
                </c:pt>
                <c:pt idx="490">
                  <c:v>-18.793464493023787</c:v>
                </c:pt>
                <c:pt idx="491">
                  <c:v>-19.109838846546321</c:v>
                </c:pt>
                <c:pt idx="492">
                  <c:v>-19.430057500139991</c:v>
                </c:pt>
                <c:pt idx="493">
                  <c:v>-19.753970705852431</c:v>
                </c:pt>
                <c:pt idx="494">
                  <c:v>-20.081430860918058</c:v>
                </c:pt>
                <c:pt idx="495">
                  <c:v>-20.412292947233198</c:v>
                </c:pt>
                <c:pt idx="496">
                  <c:v>-20.746414912245005</c:v>
                </c:pt>
                <c:pt idx="497">
                  <c:v>-21.08365799358787</c:v>
                </c:pt>
                <c:pt idx="498">
                  <c:v>-21.423886990342687</c:v>
                </c:pt>
                <c:pt idx="499">
                  <c:v>-21.766970484193155</c:v>
                </c:pt>
                <c:pt idx="500">
                  <c:v>-22.112781014041047</c:v>
                </c:pt>
                <c:pt idx="501">
                  <c:v>-22.461195207811041</c:v>
                </c:pt>
                <c:pt idx="502">
                  <c:v>-22.812093875262324</c:v>
                </c:pt>
                <c:pt idx="503">
                  <c:v>-23.165362065616463</c:v>
                </c:pt>
                <c:pt idx="504">
                  <c:v>-23.520889093752256</c:v>
                </c:pt>
                <c:pt idx="505">
                  <c:v>-23.878568538589278</c:v>
                </c:pt>
                <c:pt idx="506">
                  <c:v>-24.238298217127227</c:v>
                </c:pt>
                <c:pt idx="507">
                  <c:v>-24.599980137407677</c:v>
                </c:pt>
                <c:pt idx="508">
                  <c:v>-24.963520433454054</c:v>
                </c:pt>
                <c:pt idx="509">
                  <c:v>-25.328829285015736</c:v>
                </c:pt>
                <c:pt idx="510">
                  <c:v>-25.695820824705411</c:v>
                </c:pt>
                <c:pt idx="511">
                  <c:v>-26.064413034887725</c:v>
                </c:pt>
                <c:pt idx="512">
                  <c:v>-26.434527636436925</c:v>
                </c:pt>
                <c:pt idx="513">
                  <c:v>-26.806089971267852</c:v>
                </c:pt>
                <c:pt idx="514">
                  <c:v>-27.179028880319578</c:v>
                </c:pt>
                <c:pt idx="515">
                  <c:v>-27.553276578475604</c:v>
                </c:pt>
                <c:pt idx="516">
                  <c:v>-27.928768527713647</c:v>
                </c:pt>
                <c:pt idx="517">
                  <c:v>-28.305443309603071</c:v>
                </c:pt>
                <c:pt idx="518">
                  <c:v>-28.683242498108854</c:v>
                </c:pt>
                <c:pt idx="519">
                  <c:v>-29.062110533514819</c:v>
                </c:pt>
                <c:pt idx="520">
                  <c:v>-29.441994598147048</c:v>
                </c:pt>
                <c:pt idx="521">
                  <c:v>-29.822844494461947</c:v>
                </c:pt>
                <c:pt idx="522">
                  <c:v>-30.204612525956978</c:v>
                </c:pt>
                <c:pt idx="523">
                  <c:v>-30.587253381268855</c:v>
                </c:pt>
                <c:pt idx="524">
                  <c:v>-30.970724021745035</c:v>
                </c:pt>
                <c:pt idx="525">
                  <c:v>-31.354983572699105</c:v>
                </c:pt>
                <c:pt idx="526">
                  <c:v>-31.739993218501805</c:v>
                </c:pt>
                <c:pt idx="527">
                  <c:v>-32.125716101606507</c:v>
                </c:pt>
                <c:pt idx="528">
                  <c:v>-32.512117225558328</c:v>
                </c:pt>
                <c:pt idx="529">
                  <c:v>-32.899163362004835</c:v>
                </c:pt>
                <c:pt idx="530">
                  <c:v>-33.286822961685033</c:v>
                </c:pt>
                <c:pt idx="531">
                  <c:v>-33.675066069355267</c:v>
                </c:pt>
                <c:pt idx="532">
                  <c:v>-34.063864242581609</c:v>
                </c:pt>
                <c:pt idx="533">
                  <c:v>-34.453190474316614</c:v>
                </c:pt>
                <c:pt idx="534">
                  <c:v>-34.84301911915778</c:v>
                </c:pt>
                <c:pt idx="535">
                  <c:v>-35.233325823180074</c:v>
                </c:pt>
                <c:pt idx="536">
                  <c:v>-35.624087457223311</c:v>
                </c:pt>
                <c:pt idx="537">
                  <c:v>-36.015282053511022</c:v>
                </c:pt>
                <c:pt idx="538">
                  <c:v>-36.406888745471839</c:v>
                </c:pt>
                <c:pt idx="539">
                  <c:v>-36.79888771063483</c:v>
                </c:pt>
                <c:pt idx="540">
                  <c:v>-37.191260116467483</c:v>
                </c:pt>
                <c:pt idx="541">
                  <c:v>-37.583988069026667</c:v>
                </c:pt>
              </c:numCache>
            </c:numRef>
          </c:yVal>
          <c:smooth val="1"/>
          <c:extLst>
            <c:ext xmlns:c16="http://schemas.microsoft.com/office/drawing/2014/chart" uri="{C3380CC4-5D6E-409C-BE32-E72D297353CC}">
              <c16:uniqueId val="{00000000-ECAC-4E20-B866-0DB1B3DE6FE8}"/>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ECAC-4E20-B866-0DB1B3DE6FE8}"/>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ECAC-4E20-B866-0DB1B3DE6FE8}"/>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35.653786478667136</c:v>
                </c:pt>
              </c:numCache>
            </c:numRef>
          </c:xVal>
          <c:yVal>
            <c:numRef>
              <c:f>Loop_Modeling!$BL$11</c:f>
              <c:numCache>
                <c:formatCode>General</c:formatCode>
                <c:ptCount val="1"/>
                <c:pt idx="0">
                  <c:v>65.482715571061817</c:v>
                </c:pt>
              </c:numCache>
            </c:numRef>
          </c:yVal>
          <c:smooth val="0"/>
          <c:extLst>
            <c:ext xmlns:c16="http://schemas.microsoft.com/office/drawing/2014/chart" uri="{C3380CC4-5D6E-409C-BE32-E72D297353CC}">
              <c16:uniqueId val="{00000002-ECAC-4E20-B866-0DB1B3DE6FE8}"/>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39995.323186125308</c:v>
                </c:pt>
              </c:numCache>
            </c:numRef>
          </c:xVal>
          <c:yVal>
            <c:numRef>
              <c:f>Loop_Modeling!$BL$9</c:f>
              <c:numCache>
                <c:formatCode>General</c:formatCode>
                <c:ptCount val="1"/>
                <c:pt idx="0">
                  <c:v>-6.5014591343220243</c:v>
                </c:pt>
              </c:numCache>
            </c:numRef>
          </c:yVal>
          <c:smooth val="1"/>
          <c:extLst>
            <c:ext xmlns:c16="http://schemas.microsoft.com/office/drawing/2014/chart" uri="{C3380CC4-5D6E-409C-BE32-E72D297353CC}">
              <c16:uniqueId val="{00000004-ECAC-4E20-B866-0DB1B3DE6FE8}"/>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ECAC-4E20-B866-0DB1B3DE6FE8}"/>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10526.120574860804</c:v>
                </c:pt>
              </c:numCache>
            </c:numRef>
          </c:xVal>
          <c:yVal>
            <c:numRef>
              <c:f>Loop_Modeling!$BL$10</c:f>
              <c:numCache>
                <c:formatCode>General</c:formatCode>
                <c:ptCount val="1"/>
                <c:pt idx="0">
                  <c:v>-1.1157841667010262</c:v>
                </c:pt>
              </c:numCache>
            </c:numRef>
          </c:yVal>
          <c:smooth val="1"/>
          <c:extLst>
            <c:ext xmlns:c16="http://schemas.microsoft.com/office/drawing/2014/chart" uri="{C3380CC4-5D6E-409C-BE32-E72D297353CC}">
              <c16:uniqueId val="{00000006-ECAC-4E20-B866-0DB1B3DE6FE8}"/>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DE"/>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ECAC-4E20-B866-0DB1B3DE6FE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482.28770633907675</c:v>
                </c:pt>
              </c:numCache>
            </c:numRef>
          </c:xVal>
          <c:yVal>
            <c:numRef>
              <c:f>Loop_Modeling!$BL$12</c:f>
              <c:numCache>
                <c:formatCode>General</c:formatCode>
                <c:ptCount val="1"/>
                <c:pt idx="0">
                  <c:v>26.215635061437851</c:v>
                </c:pt>
              </c:numCache>
            </c:numRef>
          </c:yVal>
          <c:smooth val="1"/>
          <c:extLst>
            <c:ext xmlns:c16="http://schemas.microsoft.com/office/drawing/2014/chart" uri="{C3380CC4-5D6E-409C-BE32-E72D297353CC}">
              <c16:uniqueId val="{00000008-ECAC-4E20-B866-0DB1B3DE6FE8}"/>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ECAC-4E20-B866-0DB1B3DE6FE8}"/>
                </c:ext>
              </c:extLst>
            </c:dLbl>
            <c:spPr>
              <a:noFill/>
              <a:ln>
                <a:noFill/>
              </a:ln>
              <a:effectLst/>
            </c:spPr>
            <c:txPr>
              <a:bodyPr/>
              <a:lstStyle/>
              <a:p>
                <a:pPr>
                  <a:defRPr b="1"/>
                </a:pPr>
                <a:endParaRPr lang="en-DE"/>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22404.45617629711</c:v>
                </c:pt>
              </c:numCache>
            </c:numRef>
          </c:xVal>
          <c:yVal>
            <c:numRef>
              <c:f>Loop_Modeling!$BL$13</c:f>
              <c:numCache>
                <c:formatCode>General</c:formatCode>
                <c:ptCount val="1"/>
                <c:pt idx="0">
                  <c:v>-4.5230603988836426</c:v>
                </c:pt>
              </c:numCache>
            </c:numRef>
          </c:yVal>
          <c:smooth val="1"/>
          <c:extLst>
            <c:ext xmlns:c16="http://schemas.microsoft.com/office/drawing/2014/chart" uri="{C3380CC4-5D6E-409C-BE32-E72D297353CC}">
              <c16:uniqueId val="{0000000A-ECAC-4E20-B866-0DB1B3DE6FE8}"/>
            </c:ext>
          </c:extLst>
        </c:ser>
        <c:dLbls>
          <c:showLegendKey val="0"/>
          <c:showVal val="0"/>
          <c:showCatName val="0"/>
          <c:showSerName val="0"/>
          <c:showPercent val="0"/>
          <c:showBubbleSize val="0"/>
        </c:dLbls>
        <c:axId val="357835904"/>
        <c:axId val="36447705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75.214432754431726</c:v>
                </c:pt>
                <c:pt idx="1">
                  <c:v>74.889779213281273</c:v>
                </c:pt>
                <c:pt idx="2">
                  <c:v>74.558882628995846</c:v>
                </c:pt>
                <c:pt idx="3">
                  <c:v>74.221681394011171</c:v>
                </c:pt>
                <c:pt idx="4">
                  <c:v>73.878117309595453</c:v>
                </c:pt>
                <c:pt idx="5">
                  <c:v>73.528135892414298</c:v>
                </c:pt>
                <c:pt idx="6">
                  <c:v>73.171686693112591</c:v>
                </c:pt>
                <c:pt idx="7">
                  <c:v>72.808723626615063</c:v>
                </c:pt>
                <c:pt idx="8">
                  <c:v>72.439205313735968</c:v>
                </c:pt>
                <c:pt idx="9">
                  <c:v>72.063095433588757</c:v>
                </c:pt>
                <c:pt idx="10">
                  <c:v>71.680363086155978</c:v>
                </c:pt>
                <c:pt idx="11">
                  <c:v>71.290983164261874</c:v>
                </c:pt>
                <c:pt idx="12">
                  <c:v>70.894936734048827</c:v>
                </c:pt>
                <c:pt idx="13">
                  <c:v>70.492211422916398</c:v>
                </c:pt>
                <c:pt idx="14">
                  <c:v>70.082801813732587</c:v>
                </c:pt>
                <c:pt idx="15">
                  <c:v>69.666709843969727</c:v>
                </c:pt>
                <c:pt idx="16">
                  <c:v>69.24394520825652</c:v>
                </c:pt>
                <c:pt idx="17">
                  <c:v>68.814525762669703</c:v>
                </c:pt>
                <c:pt idx="18">
                  <c:v>68.378477928926344</c:v>
                </c:pt>
                <c:pt idx="19">
                  <c:v>67.935837096464041</c:v>
                </c:pt>
                <c:pt idx="20">
                  <c:v>67.486648020233261</c:v>
                </c:pt>
                <c:pt idx="21">
                  <c:v>67.030965211860746</c:v>
                </c:pt>
                <c:pt idx="22">
                  <c:v>66.568853321689843</c:v>
                </c:pt>
                <c:pt idx="23">
                  <c:v>66.100387509047636</c:v>
                </c:pt>
                <c:pt idx="24">
                  <c:v>65.625653797964105</c:v>
                </c:pt>
                <c:pt idx="25">
                  <c:v>65.144749415435371</c:v>
                </c:pt>
                <c:pt idx="26">
                  <c:v>64.657783109230692</c:v>
                </c:pt>
                <c:pt idx="27">
                  <c:v>64.164875442149821</c:v>
                </c:pt>
                <c:pt idx="28">
                  <c:v>63.666159059592523</c:v>
                </c:pt>
                <c:pt idx="29">
                  <c:v>63.161778927261658</c:v>
                </c:pt>
                <c:pt idx="30">
                  <c:v>62.65189253583042</c:v>
                </c:pt>
                <c:pt idx="31">
                  <c:v>62.136670069438118</c:v>
                </c:pt>
                <c:pt idx="32">
                  <c:v>61.616294534954385</c:v>
                </c:pt>
                <c:pt idx="33">
                  <c:v>61.09096184905691</c:v>
                </c:pt>
                <c:pt idx="34">
                  <c:v>60.560880880334359</c:v>
                </c:pt>
                <c:pt idx="35">
                  <c:v>60.026273443808506</c:v>
                </c:pt>
                <c:pt idx="36">
                  <c:v>59.48737424552025</c:v>
                </c:pt>
                <c:pt idx="37">
                  <c:v>58.944430775099711</c:v>
                </c:pt>
                <c:pt idx="38">
                  <c:v>58.397703144569853</c:v>
                </c:pt>
                <c:pt idx="39">
                  <c:v>57.847463871999267</c:v>
                </c:pt>
                <c:pt idx="40">
                  <c:v>57.293997609020863</c:v>
                </c:pt>
                <c:pt idx="41">
                  <c:v>56.737600811677076</c:v>
                </c:pt>
                <c:pt idx="42">
                  <c:v>56.178581354519082</c:v>
                </c:pt>
                <c:pt idx="43">
                  <c:v>55.617258088385647</c:v>
                </c:pt>
                <c:pt idx="44">
                  <c:v>55.053960342795996</c:v>
                </c:pt>
                <c:pt idx="45">
                  <c:v>54.489027374429661</c:v>
                </c:pt>
                <c:pt idx="46">
                  <c:v>53.922807763682428</c:v>
                </c:pt>
                <c:pt idx="47">
                  <c:v>53.355658761835208</c:v>
                </c:pt>
                <c:pt idx="48">
                  <c:v>52.787945591873303</c:v>
                </c:pt>
                <c:pt idx="49">
                  <c:v>52.220040706507291</c:v>
                </c:pt>
                <c:pt idx="50">
                  <c:v>51.65232300740913</c:v>
                </c:pt>
                <c:pt idx="51">
                  <c:v>51.085177030112</c:v>
                </c:pt>
                <c:pt idx="52">
                  <c:v>50.518992099422803</c:v>
                </c:pt>
                <c:pt idx="53">
                  <c:v>49.954161460521419</c:v>
                </c:pt>
                <c:pt idx="54">
                  <c:v>49.391081391218584</c:v>
                </c:pt>
                <c:pt idx="55">
                  <c:v>48.830150301055866</c:v>
                </c:pt>
                <c:pt idx="56">
                  <c:v>48.271767823087956</c:v>
                </c:pt>
                <c:pt idx="57">
                  <c:v>47.716333904266151</c:v>
                </c:pt>
                <c:pt idx="58">
                  <c:v>47.164247900369354</c:v>
                </c:pt>
                <c:pt idx="59">
                  <c:v>46.615907681341959</c:v>
                </c:pt>
                <c:pt idx="60">
                  <c:v>46.071708752800596</c:v>
                </c:pt>
                <c:pt idx="61">
                  <c:v>45.532043399245495</c:v>
                </c:pt>
                <c:pt idx="62">
                  <c:v>44.997299854264142</c:v>
                </c:pt>
                <c:pt idx="63">
                  <c:v>44.467861502687164</c:v>
                </c:pt>
                <c:pt idx="64">
                  <c:v>43.94410611928155</c:v>
                </c:pt>
                <c:pt idx="65">
                  <c:v>43.426405148141278</c:v>
                </c:pt>
                <c:pt idx="66">
                  <c:v>42.915123026467043</c:v>
                </c:pt>
                <c:pt idx="67">
                  <c:v>42.410616555945495</c:v>
                </c:pt>
                <c:pt idx="68">
                  <c:v>41.913234324407412</c:v>
                </c:pt>
                <c:pt idx="69">
                  <c:v>41.423316179914202</c:v>
                </c:pt>
                <c:pt idx="70">
                  <c:v>40.941192758887283</c:v>
                </c:pt>
                <c:pt idx="71">
                  <c:v>40.467185069355644</c:v>
                </c:pt>
                <c:pt idx="72">
                  <c:v>40.001604129865498</c:v>
                </c:pt>
                <c:pt idx="73">
                  <c:v>39.544750664084411</c:v>
                </c:pt>
                <c:pt idx="74">
                  <c:v>39.096914850648304</c:v>
                </c:pt>
                <c:pt idx="75">
                  <c:v>38.65837612732934</c:v>
                </c:pt>
                <c:pt idx="76">
                  <c:v>38.229403048185198</c:v>
                </c:pt>
                <c:pt idx="77">
                  <c:v>37.810253191944007</c:v>
                </c:pt>
                <c:pt idx="78">
                  <c:v>37.401173119545454</c:v>
                </c:pt>
                <c:pt idx="79">
                  <c:v>37.002398378429653</c:v>
                </c:pt>
                <c:pt idx="80">
                  <c:v>36.614153550913457</c:v>
                </c:pt>
                <c:pt idx="81">
                  <c:v>36.236652343754926</c:v>
                </c:pt>
                <c:pt idx="82">
                  <c:v>35.870097715838561</c:v>
                </c:pt>
                <c:pt idx="83">
                  <c:v>35.514682040762004</c:v>
                </c:pt>
                <c:pt idx="84">
                  <c:v>35.170587301011246</c:v>
                </c:pt>
                <c:pt idx="85">
                  <c:v>34.83798531034676</c:v>
                </c:pt>
                <c:pt idx="86">
                  <c:v>34.517037960993257</c:v>
                </c:pt>
                <c:pt idx="87">
                  <c:v>34.207897492235503</c:v>
                </c:pt>
                <c:pt idx="88">
                  <c:v>33.910706777050898</c:v>
                </c:pt>
                <c:pt idx="89">
                  <c:v>33.625599623473583</c:v>
                </c:pt>
                <c:pt idx="90">
                  <c:v>33.352701087467487</c:v>
                </c:pt>
                <c:pt idx="91">
                  <c:v>33.092127794184762</c:v>
                </c:pt>
                <c:pt idx="92">
                  <c:v>32.843988264608946</c:v>
                </c:pt>
                <c:pt idx="93">
                  <c:v>32.60838324471289</c:v>
                </c:pt>
                <c:pt idx="94">
                  <c:v>32.385406034401456</c:v>
                </c:pt>
                <c:pt idx="95">
                  <c:v>32.175142813663165</c:v>
                </c:pt>
                <c:pt idx="96">
                  <c:v>31.977672963508923</c:v>
                </c:pt>
                <c:pt idx="97">
                  <c:v>31.793069379432627</c:v>
                </c:pt>
                <c:pt idx="98">
                  <c:v>31.621398775293788</c:v>
                </c:pt>
                <c:pt idx="99">
                  <c:v>31.462721975674668</c:v>
                </c:pt>
                <c:pt idx="100">
                  <c:v>31.317094194928927</c:v>
                </c:pt>
                <c:pt idx="101">
                  <c:v>31.184565301287087</c:v>
                </c:pt>
                <c:pt idx="102">
                  <c:v>31.06518006454306</c:v>
                </c:pt>
                <c:pt idx="103">
                  <c:v>30.958978385980647</c:v>
                </c:pt>
                <c:pt idx="104">
                  <c:v>30.865995509354359</c:v>
                </c:pt>
                <c:pt idx="105">
                  <c:v>30.786262211858524</c:v>
                </c:pt>
                <c:pt idx="106">
                  <c:v>30.719804974166806</c:v>
                </c:pt>
                <c:pt idx="107">
                  <c:v>30.666646128733753</c:v>
                </c:pt>
                <c:pt idx="108">
                  <c:v>30.626803985685296</c:v>
                </c:pt>
                <c:pt idx="109">
                  <c:v>30.600292935725474</c:v>
                </c:pt>
                <c:pt idx="110">
                  <c:v>30.587123529616477</c:v>
                </c:pt>
                <c:pt idx="111">
                  <c:v>30.587302533884358</c:v>
                </c:pt>
                <c:pt idx="112">
                  <c:v>30.600832962516485</c:v>
                </c:pt>
                <c:pt idx="113">
                  <c:v>30.627714084516818</c:v>
                </c:pt>
                <c:pt idx="114">
                  <c:v>30.667941407297064</c:v>
                </c:pt>
                <c:pt idx="115">
                  <c:v>30.721506635971505</c:v>
                </c:pt>
                <c:pt idx="116">
                  <c:v>30.788397608742837</c:v>
                </c:pt>
                <c:pt idx="117">
                  <c:v>30.868598208660504</c:v>
                </c:pt>
                <c:pt idx="118">
                  <c:v>30.962088252141417</c:v>
                </c:pt>
                <c:pt idx="119">
                  <c:v>31.068843354765182</c:v>
                </c:pt>
                <c:pt idx="120">
                  <c:v>31.188834774951232</c:v>
                </c:pt>
                <c:pt idx="121">
                  <c:v>31.322029236259393</c:v>
                </c:pt>
                <c:pt idx="122">
                  <c:v>31.468388729172517</c:v>
                </c:pt>
                <c:pt idx="123">
                  <c:v>31.627870293344184</c:v>
                </c:pt>
                <c:pt idx="124">
                  <c:v>31.800425781434864</c:v>
                </c:pt>
                <c:pt idx="125">
                  <c:v>31.986001605792016</c:v>
                </c:pt>
                <c:pt idx="126">
                  <c:v>32.184538469376903</c:v>
                </c:pt>
                <c:pt idx="127">
                  <c:v>32.395971082487542</c:v>
                </c:pt>
                <c:pt idx="128">
                  <c:v>32.620227866979548</c:v>
                </c:pt>
                <c:pt idx="129">
                  <c:v>32.857230649845597</c:v>
                </c:pt>
                <c:pt idx="130">
                  <c:v>33.106894348167728</c:v>
                </c:pt>
                <c:pt idx="131">
                  <c:v>33.369126647621705</c:v>
                </c:pt>
                <c:pt idx="132">
                  <c:v>33.643827676869449</c:v>
                </c:pt>
                <c:pt idx="133">
                  <c:v>33.93088968033409</c:v>
                </c:pt>
                <c:pt idx="134">
                  <c:v>34.230196692003247</c:v>
                </c:pt>
                <c:pt idx="135">
                  <c:v>34.54162421305854</c:v>
                </c:pt>
                <c:pt idx="136">
                  <c:v>34.865038896260849</c:v>
                </c:pt>
                <c:pt idx="137">
                  <c:v>35.200298240152179</c:v>
                </c:pt>
                <c:pt idx="138">
                  <c:v>35.547250296242552</c:v>
                </c:pt>
                <c:pt idx="139">
                  <c:v>35.90573339244736</c:v>
                </c:pt>
                <c:pt idx="140">
                  <c:v>36.275575876113855</c:v>
                </c:pt>
                <c:pt idx="141">
                  <c:v>36.656595880017235</c:v>
                </c:pt>
                <c:pt idx="142">
                  <c:v>37.048601114738027</c:v>
                </c:pt>
                <c:pt idx="143">
                  <c:v>37.45138869081272</c:v>
                </c:pt>
                <c:pt idx="144">
                  <c:v>37.864744974015608</c:v>
                </c:pt>
                <c:pt idx="145">
                  <c:v>38.288445477038309</c:v>
                </c:pt>
                <c:pt idx="146">
                  <c:v>38.722254790728883</c:v>
                </c:pt>
                <c:pt idx="147">
                  <c:v>39.16592655787943</c:v>
                </c:pt>
                <c:pt idx="148">
                  <c:v>39.61920349236</c:v>
                </c:pt>
                <c:pt idx="149">
                  <c:v>40.08181744614415</c:v>
                </c:pt>
                <c:pt idx="150">
                  <c:v>40.553489526490395</c:v>
                </c:pt>
                <c:pt idx="151">
                  <c:v>41.033930265208852</c:v>
                </c:pt>
                <c:pt idx="152">
                  <c:v>41.522839841574843</c:v>
                </c:pt>
                <c:pt idx="153">
                  <c:v>42.019908360040787</c:v>
                </c:pt>
                <c:pt idx="154">
                  <c:v>42.524816183452913</c:v>
                </c:pt>
                <c:pt idx="155">
                  <c:v>43.037234322003528</c:v>
                </c:pt>
                <c:pt idx="156">
                  <c:v>43.55682487765619</c:v>
                </c:pt>
                <c:pt idx="157">
                  <c:v>44.083241543244739</c:v>
                </c:pt>
                <c:pt idx="158">
                  <c:v>44.616130154931916</c:v>
                </c:pt>
                <c:pt idx="159">
                  <c:v>45.155129296156773</c:v>
                </c:pt>
                <c:pt idx="160">
                  <c:v>45.699870950677635</c:v>
                </c:pt>
                <c:pt idx="161">
                  <c:v>46.249981201775995</c:v>
                </c:pt>
                <c:pt idx="162">
                  <c:v>46.80508097418857</c:v>
                </c:pt>
                <c:pt idx="163">
                  <c:v>47.364786814846624</c:v>
                </c:pt>
                <c:pt idx="164">
                  <c:v>47.928711708059772</c:v>
                </c:pt>
                <c:pt idx="165">
                  <c:v>48.496465920370674</c:v>
                </c:pt>
                <c:pt idx="166">
                  <c:v>49.067657869965181</c:v>
                </c:pt>
                <c:pt idx="167">
                  <c:v>49.641895015212377</c:v>
                </c:pt>
                <c:pt idx="168">
                  <c:v>50.218784756685871</c:v>
                </c:pt>
                <c:pt idx="169">
                  <c:v>50.79793534684061</c:v>
                </c:pt>
                <c:pt idx="170">
                  <c:v>51.37895680142708</c:v>
                </c:pt>
                <c:pt idx="171">
                  <c:v>51.961461806694558</c:v>
                </c:pt>
                <c:pt idx="172">
                  <c:v>52.545066616477733</c:v>
                </c:pt>
                <c:pt idx="173">
                  <c:v>53.129391933381008</c:v>
                </c:pt>
                <c:pt idx="174">
                  <c:v>53.714063768453592</c:v>
                </c:pt>
                <c:pt idx="175">
                  <c:v>54.298714273999494</c:v>
                </c:pt>
                <c:pt idx="176">
                  <c:v>54.882982544477791</c:v>
                </c:pt>
                <c:pt idx="177">
                  <c:v>55.466515380808453</c:v>
                </c:pt>
                <c:pt idx="178">
                  <c:v>56.048968013809692</c:v>
                </c:pt>
                <c:pt idx="179">
                  <c:v>56.630004782946791</c:v>
                </c:pt>
                <c:pt idx="180">
                  <c:v>57.20929976705964</c:v>
                </c:pt>
                <c:pt idx="181">
                  <c:v>57.786537364228856</c:v>
                </c:pt>
                <c:pt idx="182">
                  <c:v>58.361412818485299</c:v>
                </c:pt>
                <c:pt idx="183">
                  <c:v>58.933632691578929</c:v>
                </c:pt>
                <c:pt idx="184">
                  <c:v>59.502915278560501</c:v>
                </c:pt>
                <c:pt idx="185">
                  <c:v>60.068990966451977</c:v>
                </c:pt>
                <c:pt idx="186">
                  <c:v>60.631602535784403</c:v>
                </c:pt>
                <c:pt idx="187">
                  <c:v>61.190505405257703</c:v>
                </c:pt>
                <c:pt idx="188">
                  <c:v>61.745467820242311</c:v>
                </c:pt>
                <c:pt idx="189">
                  <c:v>62.296270986261241</c:v>
                </c:pt>
                <c:pt idx="190">
                  <c:v>62.842709148964929</c:v>
                </c:pt>
                <c:pt idx="191">
                  <c:v>63.384589622475225</c:v>
                </c:pt>
                <c:pt idx="192">
                  <c:v>63.921732768265919</c:v>
                </c:pt>
                <c:pt idx="193">
                  <c:v>64.45397192700247</c:v>
                </c:pt>
                <c:pt idx="194">
                  <c:v>64.981153306001019</c:v>
                </c:pt>
                <c:pt idx="195">
                  <c:v>65.503135825113645</c:v>
                </c:pt>
                <c:pt idx="196">
                  <c:v>66.019790924000247</c:v>
                </c:pt>
                <c:pt idx="197">
                  <c:v>66.531002333827232</c:v>
                </c:pt>
                <c:pt idx="198">
                  <c:v>67.036665816481104</c:v>
                </c:pt>
                <c:pt idx="199">
                  <c:v>67.536688874420093</c:v>
                </c:pt>
                <c:pt idx="200">
                  <c:v>68.030990434240607</c:v>
                </c:pt>
                <c:pt idx="201">
                  <c:v>68.51950050702348</c:v>
                </c:pt>
                <c:pt idx="202">
                  <c:v>69.002159828416424</c:v>
                </c:pt>
                <c:pt idx="203">
                  <c:v>69.478919481343112</c:v>
                </c:pt>
                <c:pt idx="204">
                  <c:v>69.949740504087202</c:v>
                </c:pt>
                <c:pt idx="205">
                  <c:v>70.414593486382003</c:v>
                </c:pt>
                <c:pt idx="206">
                  <c:v>70.873458155984551</c:v>
                </c:pt>
                <c:pt idx="207">
                  <c:v>71.326322958046561</c:v>
                </c:pt>
                <c:pt idx="208">
                  <c:v>71.773184629443577</c:v>
                </c:pt>
                <c:pt idx="209">
                  <c:v>72.214047770037197</c:v>
                </c:pt>
                <c:pt idx="210">
                  <c:v>72.648924412680671</c:v>
                </c:pt>
                <c:pt idx="211">
                  <c:v>73.077833593599536</c:v>
                </c:pt>
                <c:pt idx="212">
                  <c:v>73.500800924602217</c:v>
                </c:pt>
                <c:pt idx="213">
                  <c:v>73.917858168412678</c:v>
                </c:pt>
                <c:pt idx="214">
                  <c:v>74.329042818238321</c:v>
                </c:pt>
                <c:pt idx="215">
                  <c:v>74.73439768253516</c:v>
                </c:pt>
                <c:pt idx="216">
                  <c:v>75.133970475770198</c:v>
                </c:pt>
                <c:pt idx="217">
                  <c:v>75.527813415837201</c:v>
                </c:pt>
                <c:pt idx="218">
                  <c:v>75.915982828638093</c:v>
                </c:pt>
                <c:pt idx="219">
                  <c:v>76.298538760210832</c:v>
                </c:pt>
                <c:pt idx="220">
                  <c:v>76.675544596663059</c:v>
                </c:pt>
                <c:pt idx="221">
                  <c:v>77.047066692051956</c:v>
                </c:pt>
                <c:pt idx="222">
                  <c:v>77.413174004246287</c:v>
                </c:pt>
                <c:pt idx="223">
                  <c:v>77.773937738709236</c:v>
                </c:pt>
                <c:pt idx="224">
                  <c:v>78.129431000048413</c:v>
                </c:pt>
                <c:pt idx="225">
                  <c:v>78.479728451100016</c:v>
                </c:pt>
                <c:pt idx="226">
                  <c:v>78.824905979245017</c:v>
                </c:pt>
                <c:pt idx="227">
                  <c:v>79.165040369578847</c:v>
                </c:pt>
                <c:pt idx="228">
                  <c:v>79.500208984511573</c:v>
                </c:pt>
                <c:pt idx="229">
                  <c:v>79.830489449318961</c:v>
                </c:pt>
                <c:pt idx="230">
                  <c:v>80.155959343120145</c:v>
                </c:pt>
                <c:pt idx="231">
                  <c:v>80.476695894723989</c:v>
                </c:pt>
                <c:pt idx="232">
                  <c:v>80.792775682756542</c:v>
                </c:pt>
                <c:pt idx="233">
                  <c:v>81.104274339459749</c:v>
                </c:pt>
                <c:pt idx="234">
                  <c:v>81.41126625752733</c:v>
                </c:pt>
                <c:pt idx="235">
                  <c:v>81.713824299341823</c:v>
                </c:pt>
                <c:pt idx="236">
                  <c:v>82.012019507966727</c:v>
                </c:pt>
                <c:pt idx="237">
                  <c:v>82.305920819245216</c:v>
                </c:pt>
                <c:pt idx="238">
                  <c:v>82.595594774369289</c:v>
                </c:pt>
                <c:pt idx="239">
                  <c:v>82.88110523228957</c:v>
                </c:pt>
                <c:pt idx="240">
                  <c:v>83.162513081357474</c:v>
                </c:pt>
                <c:pt idx="241">
                  <c:v>83.439875949610752</c:v>
                </c:pt>
                <c:pt idx="242">
                  <c:v>83.713247913149345</c:v>
                </c:pt>
                <c:pt idx="243">
                  <c:v>83.982679202075005</c:v>
                </c:pt>
                <c:pt idx="244">
                  <c:v>84.248215903519224</c:v>
                </c:pt>
                <c:pt idx="245">
                  <c:v>84.509899661329626</c:v>
                </c:pt>
                <c:pt idx="246">
                  <c:v>84.767767372032779</c:v>
                </c:pt>
                <c:pt idx="247">
                  <c:v>85.021850876770259</c:v>
                </c:pt>
                <c:pt idx="248">
                  <c:v>85.272176648957043</c:v>
                </c:pt>
                <c:pt idx="249">
                  <c:v>85.518765477501248</c:v>
                </c:pt>
                <c:pt idx="250">
                  <c:v>85.761632145505857</c:v>
                </c:pt>
                <c:pt idx="251">
                  <c:v>86.000785104464086</c:v>
                </c:pt>
                <c:pt idx="252">
                  <c:v>86.236226144067913</c:v>
                </c:pt>
                <c:pt idx="253">
                  <c:v>86.467950057855063</c:v>
                </c:pt>
                <c:pt idx="254">
                  <c:v>86.695944305042673</c:v>
                </c:pt>
                <c:pt idx="255">
                  <c:v>86.920188669023929</c:v>
                </c:pt>
                <c:pt idx="256">
                  <c:v>87.140654913137965</c:v>
                </c:pt>
                <c:pt idx="257">
                  <c:v>87.357306434475333</c:v>
                </c:pt>
                <c:pt idx="258">
                  <c:v>87.57009791662901</c:v>
                </c:pt>
                <c:pt idx="259">
                  <c:v>87.778974982468498</c:v>
                </c:pt>
                <c:pt idx="260">
                  <c:v>87.98387384818021</c:v>
                </c:pt>
                <c:pt idx="261">
                  <c:v>88.18472097999684</c:v>
                </c:pt>
                <c:pt idx="262">
                  <c:v>88.381432755216238</c:v>
                </c:pt>
                <c:pt idx="263">
                  <c:v>88.573915129302591</c:v>
                </c:pt>
                <c:pt idx="264">
                  <c:v>88.762063311043065</c:v>
                </c:pt>
                <c:pt idx="265">
                  <c:v>88.945761447933634</c:v>
                </c:pt>
                <c:pt idx="266">
                  <c:v>89.124882324149553</c:v>
                </c:pt>
                <c:pt idx="267">
                  <c:v>89.299287073647164</c:v>
                </c:pt>
                <c:pt idx="268">
                  <c:v>89.468824911125395</c:v>
                </c:pt>
                <c:pt idx="269">
                  <c:v>89.633332883745382</c:v>
                </c:pt>
                <c:pt idx="270">
                  <c:v>89.792635646674782</c:v>
                </c:pt>
                <c:pt idx="271">
                  <c:v>89.946545265668206</c:v>
                </c:pt>
                <c:pt idx="272">
                  <c:v>90.09486105002469</c:v>
                </c:pt>
                <c:pt idx="273">
                  <c:v>90.237369419376805</c:v>
                </c:pt>
                <c:pt idx="274">
                  <c:v>90.373843807850619</c:v>
                </c:pt>
                <c:pt idx="275">
                  <c:v>90.504044609185371</c:v>
                </c:pt>
                <c:pt idx="276">
                  <c:v>90.627719166433323</c:v>
                </c:pt>
                <c:pt idx="277">
                  <c:v>90.744601809847538</c:v>
                </c:pt>
                <c:pt idx="278">
                  <c:v>90.854413946507151</c:v>
                </c:pt>
                <c:pt idx="279">
                  <c:v>90.956864205145607</c:v>
                </c:pt>
                <c:pt idx="280">
                  <c:v>91.051648639499135</c:v>
                </c:pt>
                <c:pt idx="281">
                  <c:v>91.138450993311992</c:v>
                </c:pt>
                <c:pt idx="282">
                  <c:v>91.216943029897308</c:v>
                </c:pt>
                <c:pt idx="283">
                  <c:v>91.286784928859973</c:v>
                </c:pt>
                <c:pt idx="284">
                  <c:v>91.347625752255681</c:v>
                </c:pt>
                <c:pt idx="285">
                  <c:v>91.399103982067828</c:v>
                </c:pt>
                <c:pt idx="286">
                  <c:v>91.440848130443598</c:v>
                </c:pt>
                <c:pt idx="287">
                  <c:v>91.472477423643028</c:v>
                </c:pt>
                <c:pt idx="288">
                  <c:v>91.493602560127968</c:v>
                </c:pt>
                <c:pt idx="289">
                  <c:v>91.50382654264115</c:v>
                </c:pt>
                <c:pt idx="290">
                  <c:v>91.502745583519754</c:v>
                </c:pt>
                <c:pt idx="291">
                  <c:v>91.489950081855071</c:v>
                </c:pt>
                <c:pt idx="292">
                  <c:v>91.465025670448327</c:v>
                </c:pt>
                <c:pt idx="293">
                  <c:v>91.427554329839225</c:v>
                </c:pt>
                <c:pt idx="294">
                  <c:v>91.377115566011682</c:v>
                </c:pt>
                <c:pt idx="295">
                  <c:v>91.313287647692889</c:v>
                </c:pt>
                <c:pt idx="296">
                  <c:v>91.235648898510235</c:v>
                </c:pt>
                <c:pt idx="297">
                  <c:v>91.143779038617708</c:v>
                </c:pt>
                <c:pt idx="298">
                  <c:v>91.037260569796246</c:v>
                </c:pt>
                <c:pt idx="299">
                  <c:v>90.915680197457135</c:v>
                </c:pt>
                <c:pt idx="300">
                  <c:v>90.778630282453051</c:v>
                </c:pt>
                <c:pt idx="301">
                  <c:v>90.625710315137297</c:v>
                </c:pt>
                <c:pt idx="302">
                  <c:v>90.456528403705789</c:v>
                </c:pt>
                <c:pt idx="303">
                  <c:v>90.270702768522312</c:v>
                </c:pt>
                <c:pt idx="304">
                  <c:v>90.067863233879947</c:v>
                </c:pt>
                <c:pt idx="305">
                  <c:v>89.847652708468587</c:v>
                </c:pt>
                <c:pt idx="306">
                  <c:v>89.609728645725525</c:v>
                </c:pt>
                <c:pt idx="307">
                  <c:v>89.353764475258345</c:v>
                </c:pt>
                <c:pt idx="308">
                  <c:v>89.079450996582906</c:v>
                </c:pt>
                <c:pt idx="309">
                  <c:v>88.786497726610648</c:v>
                </c:pt>
                <c:pt idx="310">
                  <c:v>88.474634192554745</c:v>
                </c:pt>
                <c:pt idx="311">
                  <c:v>88.143611162259077</c:v>
                </c:pt>
                <c:pt idx="312">
                  <c:v>87.793201804362127</c:v>
                </c:pt>
                <c:pt idx="313">
                  <c:v>87.423202771177301</c:v>
                </c:pt>
                <c:pt idx="314">
                  <c:v>87.03343519772254</c:v>
                </c:pt>
                <c:pt idx="315">
                  <c:v>86.623745610917297</c:v>
                </c:pt>
                <c:pt idx="316">
                  <c:v>86.194006743625891</c:v>
                </c:pt>
                <c:pt idx="317">
                  <c:v>85.74411824889782</c:v>
                </c:pt>
                <c:pt idx="318">
                  <c:v>85.274007310500153</c:v>
                </c:pt>
                <c:pt idx="319">
                  <c:v>84.783629146561879</c:v>
                </c:pt>
                <c:pt idx="320">
                  <c:v>84.272967403916908</c:v>
                </c:pt>
                <c:pt idx="321">
                  <c:v>83.742034441515287</c:v>
                </c:pt>
                <c:pt idx="322">
                  <c:v>83.190871502006075</c:v>
                </c:pt>
                <c:pt idx="323">
                  <c:v>82.619548771384814</c:v>
                </c:pt>
                <c:pt idx="324">
                  <c:v>82.028165327299064</c:v>
                </c:pt>
                <c:pt idx="325">
                  <c:v>81.416848977343591</c:v>
                </c:pt>
                <c:pt idx="326">
                  <c:v>80.785755989322936</c:v>
                </c:pt>
                <c:pt idx="327">
                  <c:v>80.135070716109794</c:v>
                </c:pt>
                <c:pt idx="328">
                  <c:v>79.465005118304845</c:v>
                </c:pt>
                <c:pt idx="329">
                  <c:v>78.775798188435203</c:v>
                </c:pt>
                <c:pt idx="330">
                  <c:v>78.067715280911727</c:v>
                </c:pt>
                <c:pt idx="331">
                  <c:v>77.341047352375838</c:v>
                </c:pt>
                <c:pt idx="332">
                  <c:v>76.596110117426264</c:v>
                </c:pt>
                <c:pt idx="333">
                  <c:v>75.833243125003392</c:v>
                </c:pt>
                <c:pt idx="334">
                  <c:v>75.052808760955344</c:v>
                </c:pt>
                <c:pt idx="335">
                  <c:v>74.255191182450915</c:v>
                </c:pt>
                <c:pt idx="336">
                  <c:v>73.440795190044099</c:v>
                </c:pt>
                <c:pt idx="337">
                  <c:v>72.610045043224062</c:v>
                </c:pt>
                <c:pt idx="338">
                  <c:v>71.763383225304935</c:v>
                </c:pt>
                <c:pt idx="339">
                  <c:v>70.901269163449996</c:v>
                </c:pt>
                <c:pt idx="340">
                  <c:v>70.024177909553245</c:v>
                </c:pt>
                <c:pt idx="341">
                  <c:v>69.132598787567034</c:v>
                </c:pt>
                <c:pt idx="342">
                  <c:v>68.227034012732304</c:v>
                </c:pt>
                <c:pt idx="343">
                  <c:v>67.30799728798884</c:v>
                </c:pt>
                <c:pt idx="344">
                  <c:v>66.376012382665479</c:v>
                </c:pt>
                <c:pt idx="345">
                  <c:v>65.43161169835949</c:v>
                </c:pt>
                <c:pt idx="346">
                  <c:v>64.475334826722147</c:v>
                </c:pt>
                <c:pt idx="347">
                  <c:v>63.50772710369084</c:v>
                </c:pt>
                <c:pt idx="348">
                  <c:v>62.529338164506719</c:v>
                </c:pt>
                <c:pt idx="349">
                  <c:v>61.54072050371844</c:v>
                </c:pt>
                <c:pt idx="350">
                  <c:v>60.542428044204577</c:v>
                </c:pt>
                <c:pt idx="351">
                  <c:v>59.53501471910441</c:v>
                </c:pt>
                <c:pt idx="352">
                  <c:v>58.51903307045027</c:v>
                </c:pt>
                <c:pt idx="353">
                  <c:v>57.495032868169282</c:v>
                </c:pt>
                <c:pt idx="354">
                  <c:v>56.463559753034382</c:v>
                </c:pt>
                <c:pt idx="355">
                  <c:v>55.425153907070644</c:v>
                </c:pt>
                <c:pt idx="356">
                  <c:v>54.380348754842963</c:v>
                </c:pt>
                <c:pt idx="357">
                  <c:v>53.329669698975842</c:v>
                </c:pt>
                <c:pt idx="358">
                  <c:v>52.273632893188278</c:v>
                </c:pt>
                <c:pt idx="359">
                  <c:v>51.212744056038787</c:v>
                </c:pt>
                <c:pt idx="360">
                  <c:v>50.147497328488427</c:v>
                </c:pt>
                <c:pt idx="361">
                  <c:v>49.078374178277748</c:v>
                </c:pt>
                <c:pt idx="362">
                  <c:v>48.005842353985564</c:v>
                </c:pt>
                <c:pt idx="363">
                  <c:v>46.930354891486843</c:v>
                </c:pt>
                <c:pt idx="364">
                  <c:v>45.852349175349396</c:v>
                </c:pt>
                <c:pt idx="365">
                  <c:v>44.772246057507864</c:v>
                </c:pt>
                <c:pt idx="366">
                  <c:v>43.690449035316341</c:v>
                </c:pt>
                <c:pt idx="367">
                  <c:v>42.607343490828441</c:v>
                </c:pt>
                <c:pt idx="368">
                  <c:v>41.523295992864263</c:v>
                </c:pt>
                <c:pt idx="369">
                  <c:v>40.438653663118593</c:v>
                </c:pt>
                <c:pt idx="370">
                  <c:v>39.353743607234442</c:v>
                </c:pt>
                <c:pt idx="371">
                  <c:v>38.268872411417412</c:v>
                </c:pt>
                <c:pt idx="372">
                  <c:v>37.184325704817844</c:v>
                </c:pt>
                <c:pt idx="373">
                  <c:v>36.100367787531518</c:v>
                </c:pt>
                <c:pt idx="374">
                  <c:v>35.017241323710536</c:v>
                </c:pt>
                <c:pt idx="375">
                  <c:v>33.9351670989127</c:v>
                </c:pt>
                <c:pt idx="376">
                  <c:v>32.854343840458135</c:v>
                </c:pt>
                <c:pt idx="377">
                  <c:v>31.774948099222886</c:v>
                </c:pt>
                <c:pt idx="378">
                  <c:v>30.697134190986127</c:v>
                </c:pt>
                <c:pt idx="379">
                  <c:v>29.621034195131845</c:v>
                </c:pt>
                <c:pt idx="380">
                  <c:v>28.546758008248993</c:v>
                </c:pt>
                <c:pt idx="381">
                  <c:v>27.474393449931195</c:v>
                </c:pt>
                <c:pt idx="382">
                  <c:v>26.404006417859161</c:v>
                </c:pt>
                <c:pt idx="383">
                  <c:v>25.335641089089396</c:v>
                </c:pt>
                <c:pt idx="384">
                  <c:v>24.269320164327841</c:v>
                </c:pt>
                <c:pt idx="385">
                  <c:v>23.20504515187325</c:v>
                </c:pt>
                <c:pt idx="386">
                  <c:v>22.142796687851927</c:v>
                </c:pt>
                <c:pt idx="387">
                  <c:v>21.082534889340518</c:v>
                </c:pt>
                <c:pt idx="388">
                  <c:v>20.024199736985068</c:v>
                </c:pt>
                <c:pt idx="389">
                  <c:v>18.967711483773719</c:v>
                </c:pt>
                <c:pt idx="390">
                  <c:v>17.912971086695535</c:v>
                </c:pt>
                <c:pt idx="391">
                  <c:v>16.859860658125278</c:v>
                </c:pt>
                <c:pt idx="392">
                  <c:v>15.808243933920624</c:v>
                </c:pt>
                <c:pt idx="393">
                  <c:v>14.757966755370067</c:v>
                </c:pt>
                <c:pt idx="394">
                  <c:v>13.708857562325207</c:v>
                </c:pt>
                <c:pt idx="395">
                  <c:v>12.660727895057274</c:v>
                </c:pt>
                <c:pt idx="396">
                  <c:v>11.613372902597678</c:v>
                </c:pt>
                <c:pt idx="397">
                  <c:v>10.566571855576706</c:v>
                </c:pt>
                <c:pt idx="398">
                  <c:v>9.5200886618205764</c:v>
                </c:pt>
                <c:pt idx="399">
                  <c:v>8.4736723832401495</c:v>
                </c:pt>
                <c:pt idx="400">
                  <c:v>7.4270577528241173</c:v>
                </c:pt>
                <c:pt idx="401">
                  <c:v>6.3799656908387297</c:v>
                </c:pt>
                <c:pt idx="402">
                  <c:v>5.3321038196243205</c:v>
                </c:pt>
                <c:pt idx="403">
                  <c:v>4.2831669766960649</c:v>
                </c:pt>
                <c:pt idx="404">
                  <c:v>3.2328377261444712</c:v>
                </c:pt>
                <c:pt idx="405">
                  <c:v>2.1807868686670444</c:v>
                </c:pt>
                <c:pt idx="406">
                  <c:v>1.1266739508591541</c:v>
                </c:pt>
                <c:pt idx="407">
                  <c:v>7.0147774735871943E-2</c:v>
                </c:pt>
                <c:pt idx="408">
                  <c:v>-0.98915309123325701</c:v>
                </c:pt>
                <c:pt idx="409">
                  <c:v>-2.051599797948759</c:v>
                </c:pt>
                <c:pt idx="410">
                  <c:v>-3.1175726964059995</c:v>
                </c:pt>
                <c:pt idx="411">
                  <c:v>-4.1874608110174796</c:v>
                </c:pt>
                <c:pt idx="412">
                  <c:v>-5.2616613028800998</c:v>
                </c:pt>
                <c:pt idx="413">
                  <c:v>-6.3405789199842708</c:v>
                </c:pt>
                <c:pt idx="414">
                  <c:v>-7.4246254310050137</c:v>
                </c:pt>
                <c:pt idx="415">
                  <c:v>-8.5142190389492551</c:v>
                </c:pt>
                <c:pt idx="416">
                  <c:v>-9.6097837705787548</c:v>
                </c:pt>
                <c:pt idx="417">
                  <c:v>-10.711748837152822</c:v>
                </c:pt>
                <c:pt idx="418">
                  <c:v>-11.820547961677537</c:v>
                </c:pt>
                <c:pt idx="419">
                  <c:v>-12.936618667484378</c:v>
                </c:pt>
                <c:pt idx="420">
                  <c:v>-14.06040152261429</c:v>
                </c:pt>
                <c:pt idx="421">
                  <c:v>-15.192339334134997</c:v>
                </c:pt>
                <c:pt idx="422">
                  <c:v>-16.332876286204751</c:v>
                </c:pt>
                <c:pt idx="423">
                  <c:v>-17.482457015407128</c:v>
                </c:pt>
                <c:pt idx="424">
                  <c:v>-18.641525616606589</c:v>
                </c:pt>
                <c:pt idx="425">
                  <c:v>-19.810524572385855</c:v>
                </c:pt>
                <c:pt idx="426">
                  <c:v>-20.989893598955135</c:v>
                </c:pt>
                <c:pt idx="427">
                  <c:v>-22.180068401354148</c:v>
                </c:pt>
                <c:pt idx="428">
                  <c:v>-23.38147933078135</c:v>
                </c:pt>
                <c:pt idx="429">
                  <c:v>-24.594549937010974</c:v>
                </c:pt>
                <c:pt idx="430">
                  <c:v>-25.819695409099356</c:v>
                </c:pt>
                <c:pt idx="431">
                  <c:v>-27.057320898011795</c:v>
                </c:pt>
                <c:pt idx="432">
                  <c:v>-28.307819715371966</c:v>
                </c:pt>
                <c:pt idx="433">
                  <c:v>-29.571571403346464</c:v>
                </c:pt>
                <c:pt idx="434">
                  <c:v>-30.848939671693977</c:v>
                </c:pt>
                <c:pt idx="435">
                  <c:v>-32.140270199308787</c:v>
                </c:pt>
                <c:pt idx="436">
                  <c:v>-33.445888299172985</c:v>
                </c:pt>
                <c:pt idx="437">
                  <c:v>-34.766096447518805</c:v>
                </c:pt>
                <c:pt idx="438">
                  <c:v>-36.101171680254758</c:v>
                </c:pt>
                <c:pt idx="439">
                  <c:v>-37.451362862289308</c:v>
                </c:pt>
                <c:pt idx="440">
                  <c:v>-38.816887838356621</c:v>
                </c:pt>
                <c:pt idx="441">
                  <c:v>-40.197930477279698</c:v>
                </c:pt>
                <c:pt idx="442">
                  <c:v>-41.594637625289984</c:v>
                </c:pt>
                <c:pt idx="443">
                  <c:v>-43.007115988059773</c:v>
                </c:pt>
                <c:pt idx="444">
                  <c:v>-44.435428965427512</c:v>
                </c:pt>
                <c:pt idx="445">
                  <c:v>-45.879593467345011</c:v>
                </c:pt>
                <c:pt idx="446">
                  <c:v>-47.339576744302825</c:v>
                </c:pt>
                <c:pt idx="447">
                  <c:v>-48.8152932702436</c:v>
                </c:pt>
                <c:pt idx="448">
                  <c:v>-50.306601720658279</c:v>
                </c:pt>
                <c:pt idx="449">
                  <c:v>-51.813302093007238</c:v>
                </c:pt>
                <c:pt idx="450">
                  <c:v>-53.335133020647042</c:v>
                </c:pt>
                <c:pt idx="451">
                  <c:v>-54.871769334870841</c:v>
                </c:pt>
                <c:pt idx="452">
                  <c:v>-56.42281993228908</c:v>
                </c:pt>
                <c:pt idx="453">
                  <c:v>-57.987826006364301</c:v>
                </c:pt>
                <c:pt idx="454">
                  <c:v>-59.566259702228741</c:v>
                </c:pt>
                <c:pt idx="455">
                  <c:v>-61.157523252821719</c:v>
                </c:pt>
                <c:pt idx="456">
                  <c:v>-62.760948651605425</c:v>
                </c:pt>
                <c:pt idx="457">
                  <c:v>-64.375797912636045</c:v>
                </c:pt>
                <c:pt idx="458">
                  <c:v>-66.001263962375447</c:v>
                </c:pt>
                <c:pt idx="459">
                  <c:v>-67.636472199409639</c:v>
                </c:pt>
                <c:pt idx="460">
                  <c:v>-69.280482748182521</c:v>
                </c:pt>
                <c:pt idx="461">
                  <c:v>-70.932293421146809</c:v>
                </c:pt>
                <c:pt idx="462">
                  <c:v>-72.590843390581767</c:v>
                </c:pt>
                <c:pt idx="463">
                  <c:v>-74.255017557070133</c:v>
                </c:pt>
                <c:pt idx="464">
                  <c:v>-75.923651586664278</c:v>
                </c:pt>
                <c:pt idx="465">
                  <c:v>-77.595537573572216</c:v>
                </c:pt>
                <c:pt idx="466">
                  <c:v>-79.269430270301925</c:v>
                </c:pt>
                <c:pt idx="467">
                  <c:v>-80.94405381311914</c:v>
                </c:pt>
                <c:pt idx="468">
                  <c:v>-82.618108858011908</c:v>
                </c:pt>
                <c:pt idx="469">
                  <c:v>-84.290280031565871</c:v>
                </c:pt>
                <c:pt idx="470">
                  <c:v>-85.95924359272351</c:v>
                </c:pt>
                <c:pt idx="471">
                  <c:v>-87.62367519568717</c:v>
                </c:pt>
                <c:pt idx="472">
                  <c:v>-89.282257641454564</c:v>
                </c:pt>
                <c:pt idx="473">
                  <c:v>-90.933688505816377</c:v>
                </c:pt>
                <c:pt idx="474">
                  <c:v>-92.576687535022074</c:v>
                </c:pt>
                <c:pt idx="475">
                  <c:v>-94.210003706634652</c:v>
                </c:pt>
                <c:pt idx="476">
                  <c:v>-95.832421862059803</c:v>
                </c:pt>
                <c:pt idx="477">
                  <c:v>-97.442768828442212</c:v>
                </c:pt>
                <c:pt idx="478">
                  <c:v>-99.039918960647043</c:v>
                </c:pt>
                <c:pt idx="479">
                  <c:v>-100.62279904833463</c:v>
                </c:pt>
                <c:pt idx="480">
                  <c:v>-102.19039254815173</c:v>
                </c:pt>
                <c:pt idx="481">
                  <c:v>-103.74174311626439</c:v>
                </c:pt>
                <c:pt idx="482">
                  <c:v>-105.2759574313181</c:v>
                </c:pt>
                <c:pt idx="483">
                  <c:v>-106.79220731198541</c:v>
                </c:pt>
                <c:pt idx="484">
                  <c:v>-108.28973114614197</c:v>
                </c:pt>
                <c:pt idx="485">
                  <c:v>-109.76783466011274</c:v>
                </c:pt>
                <c:pt idx="486">
                  <c:v>-111.22589106612554</c:v>
                </c:pt>
                <c:pt idx="487">
                  <c:v>-112.66334063396992</c:v>
                </c:pt>
                <c:pt idx="488">
                  <c:v>-114.07968973884556</c:v>
                </c:pt>
                <c:pt idx="489">
                  <c:v>-115.47450944155634</c:v>
                </c:pt>
                <c:pt idx="490">
                  <c:v>-116.84743365958833</c:v>
                </c:pt>
                <c:pt idx="491">
                  <c:v>-118.19815698845272</c:v>
                </c:pt>
                <c:pt idx="492">
                  <c:v>-119.52643223206725</c:v>
                </c:pt>
                <c:pt idx="493">
                  <c:v>-120.83206769915016</c:v>
                </c:pt>
                <c:pt idx="494">
                  <c:v>-122.11492431981866</c:v>
                </c:pt>
                <c:pt idx="495">
                  <c:v>-123.37491263302307</c:v>
                </c:pt>
                <c:pt idx="496">
                  <c:v>-124.61198969132229</c:v>
                </c:pt>
                <c:pt idx="497">
                  <c:v>-125.82615592501641</c:v>
                </c:pt>
                <c:pt idx="498">
                  <c:v>-127.01745200295167</c:v>
                </c:pt>
                <c:pt idx="499">
                  <c:v>-128.1859557225703</c:v>
                </c:pt>
                <c:pt idx="500">
                  <c:v>-129.33177895710395</c:v>
                </c:pt>
                <c:pt idx="501">
                  <c:v>-130.4550646833043</c:v>
                </c:pt>
                <c:pt idx="502">
                  <c:v>-131.55598410885833</c:v>
                </c:pt>
                <c:pt idx="503">
                  <c:v>-132.63473391468702</c:v>
                </c:pt>
                <c:pt idx="504">
                  <c:v>-133.69153362372467</c:v>
                </c:pt>
                <c:pt idx="505">
                  <c:v>-134.72662310453575</c:v>
                </c:pt>
                <c:pt idx="506">
                  <c:v>-135.74026021525927</c:v>
                </c:pt>
                <c:pt idx="507">
                  <c:v>-136.7327185908627</c:v>
                </c:pt>
                <c:pt idx="508">
                  <c:v>-137.70428557453866</c:v>
                </c:pt>
                <c:pt idx="509">
                  <c:v>-138.65526029226578</c:v>
                </c:pt>
                <c:pt idx="510">
                  <c:v>-139.58595186803473</c:v>
                </c:pt>
                <c:pt idx="511">
                  <c:v>-140.49667777603449</c:v>
                </c:pt>
                <c:pt idx="512">
                  <c:v>-141.38776232511248</c:v>
                </c:pt>
                <c:pt idx="513">
                  <c:v>-142.2595352700861</c:v>
                </c:pt>
                <c:pt idx="514">
                  <c:v>-143.11233054394242</c:v>
                </c:pt>
                <c:pt idx="515">
                  <c:v>-143.94648510458958</c:v>
                </c:pt>
                <c:pt idx="516">
                  <c:v>-144.76233788960789</c:v>
                </c:pt>
                <c:pt idx="517">
                  <c:v>-145.56022887233996</c:v>
                </c:pt>
                <c:pt idx="518">
                  <c:v>-146.3404982126761</c:v>
                </c:pt>
                <c:pt idx="519">
                  <c:v>-147.10348549596998</c:v>
                </c:pt>
                <c:pt idx="520">
                  <c:v>-147.84952905367982</c:v>
                </c:pt>
                <c:pt idx="521">
                  <c:v>-148.57896535954055</c:v>
                </c:pt>
                <c:pt idx="522">
                  <c:v>-149.29212849531152</c:v>
                </c:pt>
                <c:pt idx="523">
                  <c:v>-149.98934968043019</c:v>
                </c:pt>
                <c:pt idx="524">
                  <c:v>-150.67095686019445</c:v>
                </c:pt>
                <c:pt idx="525">
                  <c:v>-151.33727434739359</c:v>
                </c:pt>
                <c:pt idx="526">
                  <c:v>-151.9886225126383</c:v>
                </c:pt>
                <c:pt idx="527">
                  <c:v>-152.62531751893073</c:v>
                </c:pt>
                <c:pt idx="528">
                  <c:v>-153.24767109633979</c:v>
                </c:pt>
                <c:pt idx="529">
                  <c:v>-153.85599035293848</c:v>
                </c:pt>
                <c:pt idx="530">
                  <c:v>-154.45057761844205</c:v>
                </c:pt>
                <c:pt idx="531">
                  <c:v>-155.0317303172838</c:v>
                </c:pt>
                <c:pt idx="532">
                  <c:v>-155.5997408681034</c:v>
                </c:pt>
                <c:pt idx="533">
                  <c:v>-156.15489660689516</c:v>
                </c:pt>
                <c:pt idx="534">
                  <c:v>-156.69747973128014</c:v>
                </c:pt>
                <c:pt idx="535">
                  <c:v>-157.2277672636003</c:v>
                </c:pt>
                <c:pt idx="536">
                  <c:v>-157.74603103072801</c:v>
                </c:pt>
                <c:pt idx="537">
                  <c:v>-158.25253765868385</c:v>
                </c:pt>
                <c:pt idx="538">
                  <c:v>-158.74754858032279</c:v>
                </c:pt>
                <c:pt idx="539">
                  <c:v>-159.23132005452288</c:v>
                </c:pt>
                <c:pt idx="540">
                  <c:v>-159.704103195453</c:v>
                </c:pt>
                <c:pt idx="541">
                  <c:v>-160.16614401063651</c:v>
                </c:pt>
              </c:numCache>
            </c:numRef>
          </c:yVal>
          <c:smooth val="1"/>
          <c:extLst>
            <c:ext xmlns:c16="http://schemas.microsoft.com/office/drawing/2014/chart" uri="{C3380CC4-5D6E-409C-BE32-E72D297353CC}">
              <c16:uniqueId val="{0000000B-ECAC-4E20-B866-0DB1B3DE6FE8}"/>
            </c:ext>
          </c:extLst>
        </c:ser>
        <c:dLbls>
          <c:showLegendKey val="0"/>
          <c:showVal val="0"/>
          <c:showCatName val="0"/>
          <c:showSerName val="0"/>
          <c:showPercent val="0"/>
          <c:showBubbleSize val="0"/>
        </c:dLbls>
        <c:axId val="387647744"/>
        <c:axId val="364517248"/>
      </c:scatterChart>
      <c:valAx>
        <c:axId val="357835904"/>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DE"/>
          </a:p>
        </c:txPr>
        <c:crossAx val="364477056"/>
        <c:crosses val="autoZero"/>
        <c:crossBetween val="midCat"/>
      </c:valAx>
      <c:valAx>
        <c:axId val="36447705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DE"/>
          </a:p>
        </c:txPr>
        <c:crossAx val="357835904"/>
        <c:crosses val="autoZero"/>
        <c:crossBetween val="midCat"/>
        <c:majorUnit val="20"/>
        <c:minorUnit val="10"/>
      </c:valAx>
      <c:valAx>
        <c:axId val="364517248"/>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DE"/>
          </a:p>
        </c:txPr>
        <c:crossAx val="387647744"/>
        <c:crosses val="max"/>
        <c:crossBetween val="midCat"/>
        <c:majorUnit val="90"/>
        <c:minorUnit val="45"/>
      </c:valAx>
      <c:valAx>
        <c:axId val="387647744"/>
        <c:scaling>
          <c:logBase val="10"/>
          <c:orientation val="minMax"/>
        </c:scaling>
        <c:delete val="1"/>
        <c:axPos val="b"/>
        <c:numFmt formatCode="0.00" sourceLinked="1"/>
        <c:majorTickMark val="out"/>
        <c:minorTickMark val="none"/>
        <c:tickLblPos val="nextTo"/>
        <c:crossAx val="364517248"/>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78.969602165554448</c:v>
                </c:pt>
                <c:pt idx="1">
                  <c:v>78.754145440681555</c:v>
                </c:pt>
                <c:pt idx="2">
                  <c:v>78.538019708376353</c:v>
                </c:pt>
                <c:pt idx="3">
                  <c:v>78.321198689069035</c:v>
                </c:pt>
                <c:pt idx="4">
                  <c:v>78.103655305593563</c:v>
                </c:pt>
                <c:pt idx="5">
                  <c:v>77.885361679588769</c:v>
                </c:pt>
                <c:pt idx="6">
                  <c:v>77.666289129951622</c:v>
                </c:pt>
                <c:pt idx="7">
                  <c:v>77.446408173532262</c:v>
                </c:pt>
                <c:pt idx="8">
                  <c:v>77.225688528265522</c:v>
                </c:pt>
                <c:pt idx="9">
                  <c:v>77.004099118941454</c:v>
                </c:pt>
                <c:pt idx="10">
                  <c:v>76.781608085817965</c:v>
                </c:pt>
                <c:pt idx="11">
                  <c:v>76.558182796283091</c:v>
                </c:pt>
                <c:pt idx="12">
                  <c:v>76.333789859775877</c:v>
                </c:pt>
                <c:pt idx="13">
                  <c:v>76.108395146171759</c:v>
                </c:pt>
                <c:pt idx="14">
                  <c:v>75.881963807838673</c:v>
                </c:pt>
                <c:pt idx="15">
                  <c:v>75.654460305563575</c:v>
                </c:pt>
                <c:pt idx="16">
                  <c:v>75.425848438541635</c:v>
                </c:pt>
                <c:pt idx="17">
                  <c:v>75.196091378613247</c:v>
                </c:pt>
                <c:pt idx="18">
                  <c:v>74.96515170891891</c:v>
                </c:pt>
                <c:pt idx="19">
                  <c:v>74.732991467127533</c:v>
                </c:pt>
                <c:pt idx="20">
                  <c:v>74.499572193376608</c:v>
                </c:pt>
                <c:pt idx="21">
                  <c:v>74.264854983039868</c:v>
                </c:pt>
                <c:pt idx="22">
                  <c:v>74.028800544412775</c:v>
                </c:pt>
                <c:pt idx="23">
                  <c:v>73.79136926137906</c:v>
                </c:pt>
                <c:pt idx="24">
                  <c:v>73.552521261088884</c:v>
                </c:pt>
                <c:pt idx="25">
                  <c:v>73.312216486644189</c:v>
                </c:pt>
                <c:pt idx="26">
                  <c:v>73.070414774748286</c:v>
                </c:pt>
                <c:pt idx="27">
                  <c:v>72.827075938235609</c:v>
                </c:pt>
                <c:pt idx="28">
                  <c:v>72.582159853352039</c:v>
                </c:pt>
                <c:pt idx="29">
                  <c:v>72.33562655160982</c:v>
                </c:pt>
                <c:pt idx="30">
                  <c:v>72.087436315991781</c:v>
                </c:pt>
                <c:pt idx="31">
                  <c:v>71.837549781227793</c:v>
                </c:pt>
                <c:pt idx="32">
                  <c:v>71.585928037815037</c:v>
                </c:pt>
                <c:pt idx="33">
                  <c:v>71.33253273939907</c:v>
                </c:pt>
                <c:pt idx="34">
                  <c:v>71.0773262130826</c:v>
                </c:pt>
                <c:pt idx="35">
                  <c:v>70.820271572174235</c:v>
                </c:pt>
                <c:pt idx="36">
                  <c:v>70.561332830840271</c:v>
                </c:pt>
                <c:pt idx="37">
                  <c:v>70.300475020076121</c:v>
                </c:pt>
                <c:pt idx="38">
                  <c:v>70.037664304367993</c:v>
                </c:pt>
                <c:pt idx="39">
                  <c:v>69.772868098376591</c:v>
                </c:pt>
                <c:pt idx="40">
                  <c:v>69.506055182939875</c:v>
                </c:pt>
                <c:pt idx="41">
                  <c:v>69.237195819663668</c:v>
                </c:pt>
                <c:pt idx="42">
                  <c:v>68.96626186334781</c:v>
                </c:pt>
                <c:pt idx="43">
                  <c:v>68.693226871480434</c:v>
                </c:pt>
                <c:pt idx="44">
                  <c:v>68.418066210030105</c:v>
                </c:pt>
                <c:pt idx="45">
                  <c:v>68.140757154766035</c:v>
                </c:pt>
                <c:pt idx="46">
                  <c:v>67.861278987352719</c:v>
                </c:pt>
                <c:pt idx="47">
                  <c:v>67.57961308548505</c:v>
                </c:pt>
                <c:pt idx="48">
                  <c:v>67.295743006363551</c:v>
                </c:pt>
                <c:pt idx="49">
                  <c:v>67.009654562850073</c:v>
                </c:pt>
                <c:pt idx="50">
                  <c:v>66.721335891696071</c:v>
                </c:pt>
                <c:pt idx="51">
                  <c:v>66.430777513292796</c:v>
                </c:pt>
                <c:pt idx="52">
                  <c:v>66.137972382463317</c:v>
                </c:pt>
                <c:pt idx="53">
                  <c:v>65.842915929887582</c:v>
                </c:pt>
                <c:pt idx="54">
                  <c:v>65.545606093835573</c:v>
                </c:pt>
                <c:pt idx="55">
                  <c:v>65.246043341966029</c:v>
                </c:pt>
                <c:pt idx="56">
                  <c:v>64.944230683041894</c:v>
                </c:pt>
                <c:pt idx="57">
                  <c:v>64.640173668501731</c:v>
                </c:pt>
                <c:pt idx="58">
                  <c:v>64.333880383921866</c:v>
                </c:pt>
                <c:pt idx="59">
                  <c:v>64.025361430495408</c:v>
                </c:pt>
                <c:pt idx="60">
                  <c:v>63.71462989674594</c:v>
                </c:pt>
                <c:pt idx="61">
                  <c:v>63.401701320780298</c:v>
                </c:pt>
                <c:pt idx="62">
                  <c:v>63.086593643468333</c:v>
                </c:pt>
                <c:pt idx="63">
                  <c:v>62.76932715301443</c:v>
                </c:pt>
                <c:pt idx="64">
                  <c:v>62.449924421457752</c:v>
                </c:pt>
                <c:pt idx="65">
                  <c:v>62.128410233697792</c:v>
                </c:pt>
                <c:pt idx="66">
                  <c:v>61.804811509698879</c:v>
                </c:pt>
                <c:pt idx="67">
                  <c:v>61.479157220572191</c:v>
                </c:pt>
                <c:pt idx="68">
                  <c:v>61.151478299267936</c:v>
                </c:pt>
                <c:pt idx="69">
                  <c:v>60.821807546639242</c:v>
                </c:pt>
                <c:pt idx="70">
                  <c:v>60.490179533653581</c:v>
                </c:pt>
                <c:pt idx="71">
                  <c:v>60.156630500536451</c:v>
                </c:pt>
                <c:pt idx="72">
                  <c:v>59.821198253629618</c:v>
                </c:pt>
                <c:pt idx="73">
                  <c:v>59.483922060735111</c:v>
                </c:pt>
                <c:pt idx="74">
                  <c:v>59.144842545698822</c:v>
                </c:pt>
                <c:pt idx="75">
                  <c:v>58.804001582959849</c:v>
                </c:pt>
                <c:pt idx="76">
                  <c:v>58.461442192761616</c:v>
                </c:pt>
                <c:pt idx="77">
                  <c:v>58.117208437679579</c:v>
                </c:pt>
                <c:pt idx="78">
                  <c:v>57.771345321081171</c:v>
                </c:pt>
                <c:pt idx="79">
                  <c:v>57.423898688081863</c:v>
                </c:pt>
                <c:pt idx="80">
                  <c:v>57.074915129516341</c:v>
                </c:pt>
                <c:pt idx="81">
                  <c:v>56.724441889387514</c:v>
                </c:pt>
                <c:pt idx="82">
                  <c:v>56.37252677620517</c:v>
                </c:pt>
                <c:pt idx="83">
                  <c:v>56.019218078570276</c:v>
                </c:pt>
                <c:pt idx="84">
                  <c:v>55.664564485309654</c:v>
                </c:pt>
                <c:pt idx="85">
                  <c:v>55.308615010409206</c:v>
                </c:pt>
                <c:pt idx="86">
                  <c:v>54.951418922945038</c:v>
                </c:pt>
                <c:pt idx="87">
                  <c:v>54.593025682161496</c:v>
                </c:pt>
                <c:pt idx="88">
                  <c:v>54.233484877796329</c:v>
                </c:pt>
                <c:pt idx="89">
                  <c:v>53.872846175710862</c:v>
                </c:pt>
                <c:pt idx="90">
                  <c:v>53.511159268837396</c:v>
                </c:pt>
                <c:pt idx="91">
                  <c:v>53.148473833421825</c:v>
                </c:pt>
                <c:pt idx="92">
                  <c:v>52.78483949049857</c:v>
                </c:pt>
                <c:pt idx="93">
                  <c:v>52.420305772506559</c:v>
                </c:pt>
                <c:pt idx="94">
                  <c:v>52.054922094923135</c:v>
                </c:pt>
                <c:pt idx="95">
                  <c:v>51.688737732766945</c:v>
                </c:pt>
                <c:pt idx="96">
                  <c:v>51.321801801797648</c:v>
                </c:pt>
                <c:pt idx="97">
                  <c:v>50.954163244220815</c:v>
                </c:pt>
                <c:pt idx="98">
                  <c:v>50.585870818684917</c:v>
                </c:pt>
                <c:pt idx="99">
                  <c:v>50.216973094348639</c:v>
                </c:pt>
                <c:pt idx="100">
                  <c:v>49.847518448776881</c:v>
                </c:pt>
                <c:pt idx="101">
                  <c:v>49.477555069416603</c:v>
                </c:pt>
                <c:pt idx="102">
                  <c:v>49.107130958395466</c:v>
                </c:pt>
                <c:pt idx="103">
                  <c:v>48.736293940376385</c:v>
                </c:pt>
                <c:pt idx="104">
                  <c:v>48.36509167319663</c:v>
                </c:pt>
                <c:pt idx="105">
                  <c:v>47.993571661015643</c:v>
                </c:pt>
                <c:pt idx="106">
                  <c:v>47.621781269691866</c:v>
                </c:pt>
                <c:pt idx="107">
                  <c:v>47.249767744106336</c:v>
                </c:pt>
                <c:pt idx="108">
                  <c:v>46.877578227148852</c:v>
                </c:pt>
                <c:pt idx="109">
                  <c:v>46.50525978008055</c:v>
                </c:pt>
                <c:pt idx="110">
                  <c:v>46.132859403986757</c:v>
                </c:pt>
                <c:pt idx="111">
                  <c:v>45.760424062032861</c:v>
                </c:pt>
                <c:pt idx="112">
                  <c:v>45.388000702235196</c:v>
                </c:pt>
                <c:pt idx="113">
                  <c:v>45.015636280459645</c:v>
                </c:pt>
                <c:pt idx="114">
                  <c:v>44.64337778335868</c:v>
                </c:pt>
                <c:pt idx="115">
                  <c:v>44.271272250961303</c:v>
                </c:pt>
                <c:pt idx="116">
                  <c:v>43.899366798625167</c:v>
                </c:pt>
                <c:pt idx="117">
                  <c:v>43.527708638065697</c:v>
                </c:pt>
                <c:pt idx="118">
                  <c:v>43.156345097174977</c:v>
                </c:pt>
                <c:pt idx="119">
                  <c:v>42.785323638342277</c:v>
                </c:pt>
                <c:pt idx="120">
                  <c:v>42.414691874994475</c:v>
                </c:pt>
                <c:pt idx="121">
                  <c:v>42.044497586070655</c:v>
                </c:pt>
                <c:pt idx="122">
                  <c:v>41.674788728150574</c:v>
                </c:pt>
                <c:pt idx="123">
                  <c:v>41.305613444959178</c:v>
                </c:pt>
                <c:pt idx="124">
                  <c:v>40.937020073973642</c:v>
                </c:pt>
                <c:pt idx="125">
                  <c:v>40.569057149863468</c:v>
                </c:pt>
                <c:pt idx="126">
                  <c:v>40.201773404501246</c:v>
                </c:pt>
                <c:pt idx="127">
                  <c:v>39.835217763291297</c:v>
                </c:pt>
                <c:pt idx="128">
                  <c:v>39.46943933757079</c:v>
                </c:pt>
                <c:pt idx="129">
                  <c:v>39.10448741284975</c:v>
                </c:pt>
                <c:pt idx="130">
                  <c:v>38.74041143267403</c:v>
                </c:pt>
                <c:pt idx="131">
                  <c:v>38.377260977906602</c:v>
                </c:pt>
                <c:pt idx="132">
                  <c:v>38.015085741245613</c:v>
                </c:pt>
                <c:pt idx="133">
                  <c:v>37.653935496816551</c:v>
                </c:pt>
                <c:pt idx="134">
                  <c:v>37.293860064703267</c:v>
                </c:pt>
                <c:pt idx="135">
                  <c:v>36.934909270308317</c:v>
                </c:pt>
                <c:pt idx="136">
                  <c:v>36.577132898464029</c:v>
                </c:pt>
                <c:pt idx="137">
                  <c:v>36.220580642252081</c:v>
                </c:pt>
                <c:pt idx="138">
                  <c:v>35.865302046524292</c:v>
                </c:pt>
                <c:pt idx="139">
                  <c:v>35.511346446158022</c:v>
                </c:pt>
                <c:pt idx="140">
                  <c:v>35.158762899124717</c:v>
                </c:pt>
                <c:pt idx="141">
                  <c:v>34.807600114494136</c:v>
                </c:pt>
                <c:pt idx="142">
                  <c:v>34.457906375546365</c:v>
                </c:pt>
                <c:pt idx="143">
                  <c:v>34.109729458215348</c:v>
                </c:pt>
                <c:pt idx="144">
                  <c:v>33.763116545137571</c:v>
                </c:pt>
                <c:pt idx="145">
                  <c:v>33.418114135635477</c:v>
                </c:pt>
                <c:pt idx="146">
                  <c:v>33.07476795201832</c:v>
                </c:pt>
                <c:pt idx="147">
                  <c:v>32.73312284263654</c:v>
                </c:pt>
                <c:pt idx="148">
                  <c:v>32.393222682179868</c:v>
                </c:pt>
                <c:pt idx="149">
                  <c:v>32.055110269759382</c:v>
                </c:pt>
                <c:pt idx="150">
                  <c:v>31.718827225363828</c:v>
                </c:pt>
                <c:pt idx="151">
                  <c:v>31.384413885324676</c:v>
                </c:pt>
                <c:pt idx="152">
                  <c:v>31.051909197466333</c:v>
                </c:pt>
                <c:pt idx="153">
                  <c:v>30.721350616652661</c:v>
                </c:pt>
                <c:pt idx="154">
                  <c:v>30.39277400147181</c:v>
                </c:pt>
                <c:pt idx="155">
                  <c:v>30.066213512822753</c:v>
                </c:pt>
                <c:pt idx="156">
                  <c:v>29.741701515183514</c:v>
                </c:pt>
                <c:pt idx="157">
                  <c:v>29.419268481345547</c:v>
                </c:pt>
                <c:pt idx="158">
                  <c:v>29.098942901399617</c:v>
                </c:pt>
                <c:pt idx="159">
                  <c:v>28.780751196744593</c:v>
                </c:pt>
                <c:pt idx="160">
                  <c:v>28.464717639868976</c:v>
                </c:pt>
                <c:pt idx="161">
                  <c:v>28.150864280629296</c:v>
                </c:pt>
                <c:pt idx="162">
                  <c:v>27.839210879701724</c:v>
                </c:pt>
                <c:pt idx="163">
                  <c:v>27.529774849840308</c:v>
                </c:pt>
                <c:pt idx="164">
                  <c:v>27.222571205514626</c:v>
                </c:pt>
                <c:pt idx="165">
                  <c:v>26.91761252143186</c:v>
                </c:pt>
                <c:pt idx="166">
                  <c:v>26.614908900377728</c:v>
                </c:pt>
                <c:pt idx="167">
                  <c:v>26.314467950728002</c:v>
                </c:pt>
                <c:pt idx="168">
                  <c:v>26.016294773898974</c:v>
                </c:pt>
                <c:pt idx="169">
                  <c:v>25.720391961914761</c:v>
                </c:pt>
                <c:pt idx="170">
                  <c:v>25.426759605179758</c:v>
                </c:pt>
                <c:pt idx="171">
                  <c:v>25.135395310448896</c:v>
                </c:pt>
                <c:pt idx="172">
                  <c:v>24.846294228898003</c:v>
                </c:pt>
                <c:pt idx="173">
                  <c:v>24.559449094105588</c:v>
                </c:pt>
                <c:pt idx="174">
                  <c:v>24.274850269666658</c:v>
                </c:pt>
                <c:pt idx="175">
                  <c:v>23.99248580607988</c:v>
                </c:pt>
                <c:pt idx="176">
                  <c:v>23.712341506468483</c:v>
                </c:pt>
                <c:pt idx="177">
                  <c:v>23.434401000624554</c:v>
                </c:pt>
                <c:pt idx="178">
                  <c:v>23.158645826802811</c:v>
                </c:pt>
                <c:pt idx="179">
                  <c:v>22.885055520635706</c:v>
                </c:pt>
                <c:pt idx="180">
                  <c:v>22.613607710493607</c:v>
                </c:pt>
                <c:pt idx="181">
                  <c:v>22.344278218577223</c:v>
                </c:pt>
                <c:pt idx="182">
                  <c:v>22.077041167002911</c:v>
                </c:pt>
                <c:pt idx="183">
                  <c:v>21.811869088122524</c:v>
                </c:pt>
                <c:pt idx="184">
                  <c:v>21.548733038311852</c:v>
                </c:pt>
                <c:pt idx="185">
                  <c:v>21.287602714461187</c:v>
                </c:pt>
                <c:pt idx="186">
                  <c:v>21.028446572413365</c:v>
                </c:pt>
                <c:pt idx="187">
                  <c:v>20.771231946608253</c:v>
                </c:pt>
                <c:pt idx="188">
                  <c:v>20.515925170221522</c:v>
                </c:pt>
                <c:pt idx="189">
                  <c:v>20.2624916951148</c:v>
                </c:pt>
                <c:pt idx="190">
                  <c:v>20.010896210950861</c:v>
                </c:pt>
                <c:pt idx="191">
                  <c:v>19.76110276287185</c:v>
                </c:pt>
                <c:pt idx="192">
                  <c:v>19.513074867182439</c:v>
                </c:pt>
                <c:pt idx="193">
                  <c:v>19.266775624529416</c:v>
                </c:pt>
                <c:pt idx="194">
                  <c:v>19.022167830121415</c:v>
                </c:pt>
                <c:pt idx="195">
                  <c:v>18.779214080583579</c:v>
                </c:pt>
                <c:pt idx="196">
                  <c:v>18.537876877095179</c:v>
                </c:pt>
                <c:pt idx="197">
                  <c:v>18.298118724512481</c:v>
                </c:pt>
                <c:pt idx="198">
                  <c:v>18.059902226229145</c:v>
                </c:pt>
                <c:pt idx="199">
                  <c:v>17.823190174577491</c:v>
                </c:pt>
                <c:pt idx="200">
                  <c:v>17.587945636622997</c:v>
                </c:pt>
                <c:pt idx="201">
                  <c:v>17.35413203525005</c:v>
                </c:pt>
                <c:pt idx="202">
                  <c:v>17.121713225478842</c:v>
                </c:pt>
                <c:pt idx="203">
                  <c:v>16.890653565996473</c:v>
                </c:pt>
                <c:pt idx="204">
                  <c:v>16.660917985918331</c:v>
                </c:pt>
                <c:pt idx="205">
                  <c:v>16.432472046832977</c:v>
                </c:pt>
                <c:pt idx="206">
                  <c:v>16.205282000210566</c:v>
                </c:pt>
                <c:pt idx="207">
                  <c:v>15.979314840284392</c:v>
                </c:pt>
                <c:pt idx="208">
                  <c:v>15.75453835253618</c:v>
                </c:pt>
                <c:pt idx="209">
                  <c:v>15.530921157935262</c:v>
                </c:pt>
                <c:pt idx="210">
                  <c:v>15.308432753101336</c:v>
                </c:pt>
                <c:pt idx="211">
                  <c:v>15.087043546568646</c:v>
                </c:pt>
                <c:pt idx="212">
                  <c:v>14.866724891347049</c:v>
                </c:pt>
                <c:pt idx="213">
                  <c:v>14.647449113975137</c:v>
                </c:pt>
                <c:pt idx="214">
                  <c:v>14.429189540272809</c:v>
                </c:pt>
                <c:pt idx="215">
                  <c:v>14.211920517999877</c:v>
                </c:pt>
                <c:pt idx="216">
                  <c:v>13.99561743662742</c:v>
                </c:pt>
                <c:pt idx="217">
                  <c:v>13.780256744431389</c:v>
                </c:pt>
                <c:pt idx="218">
                  <c:v>13.565815963110211</c:v>
                </c:pt>
                <c:pt idx="219">
                  <c:v>13.352273700127011</c:v>
                </c:pt>
                <c:pt idx="220">
                  <c:v>13.139609658970436</c:v>
                </c:pt>
                <c:pt idx="221">
                  <c:v>12.927804647519832</c:v>
                </c:pt>
                <c:pt idx="222">
                  <c:v>12.716840584694534</c:v>
                </c:pt>
                <c:pt idx="223">
                  <c:v>12.506700505556891</c:v>
                </c:pt>
                <c:pt idx="224">
                  <c:v>12.297368565028339</c:v>
                </c:pt>
                <c:pt idx="225">
                  <c:v>12.088830040370265</c:v>
                </c:pt>
                <c:pt idx="226">
                  <c:v>11.881071332566847</c:v>
                </c:pt>
                <c:pt idx="227">
                  <c:v>11.674079966739432</c:v>
                </c:pt>
                <c:pt idx="228">
                  <c:v>11.4678445917083</c:v>
                </c:pt>
                <c:pt idx="229">
                  <c:v>11.262354978806414</c:v>
                </c:pt>
                <c:pt idx="230">
                  <c:v>11.057602020038356</c:v>
                </c:pt>
                <c:pt idx="231">
                  <c:v>10.853577725664591</c:v>
                </c:pt>
                <c:pt idx="232">
                  <c:v>10.650275221280037</c:v>
                </c:pt>
                <c:pt idx="233">
                  <c:v>10.447688744442285</c:v>
                </c:pt>
                <c:pt idx="234">
                  <c:v>10.245813640893914</c:v>
                </c:pt>
                <c:pt idx="235">
                  <c:v>10.044646360410292</c:v>
                </c:pt>
                <c:pt idx="236">
                  <c:v>9.8441844522910706</c:v>
                </c:pt>
                <c:pt idx="237">
                  <c:v>9.644426560503172</c:v>
                </c:pt>
                <c:pt idx="238">
                  <c:v>9.4453724184692298</c:v>
                </c:pt>
                <c:pt idx="239">
                  <c:v>9.2470228434838635</c:v>
                </c:pt>
                <c:pt idx="240">
                  <c:v>9.0493797307268924</c:v>
                </c:pt>
                <c:pt idx="241">
                  <c:v>8.8524460468327693</c:v>
                </c:pt>
                <c:pt idx="242">
                  <c:v>8.6562258229613374</c:v>
                </c:pt>
                <c:pt idx="243">
                  <c:v>8.4607241473035781</c:v>
                </c:pt>
                <c:pt idx="244">
                  <c:v>8.2659471569453267</c:v>
                </c:pt>
                <c:pt idx="245">
                  <c:v>8.0719020289989878</c:v>
                </c:pt>
                <c:pt idx="246">
                  <c:v>7.8785969709034243</c:v>
                </c:pt>
                <c:pt idx="247">
                  <c:v>7.6860412097789883</c:v>
                </c:pt>
                <c:pt idx="248">
                  <c:v>7.4942449807167408</c:v>
                </c:pt>
                <c:pt idx="249">
                  <c:v>7.3032195138680684</c:v>
                </c:pt>
                <c:pt idx="250">
                  <c:v>7.1129770201933198</c:v>
                </c:pt>
                <c:pt idx="251">
                  <c:v>6.9235306757160071</c:v>
                </c:pt>
                <c:pt idx="252">
                  <c:v>6.7348946041249045</c:v>
                </c:pt>
                <c:pt idx="253">
                  <c:v>6.5470838575535435</c:v>
                </c:pt>
                <c:pt idx="254">
                  <c:v>6.360114395364473</c:v>
                </c:pt>
                <c:pt idx="255">
                  <c:v>6.1740030607573315</c:v>
                </c:pt>
                <c:pt idx="256">
                  <c:v>5.9887675550162172</c:v>
                </c:pt>
                <c:pt idx="257">
                  <c:v>5.8044264092093689</c:v>
                </c:pt>
                <c:pt idx="258">
                  <c:v>5.6209989531521822</c:v>
                </c:pt>
                <c:pt idx="259">
                  <c:v>5.4385052814457735</c:v>
                </c:pt>
                <c:pt idx="260">
                  <c:v>5.2569662164055897</c:v>
                </c:pt>
                <c:pt idx="261">
                  <c:v>5.0764032677001536</c:v>
                </c:pt>
                <c:pt idx="262">
                  <c:v>4.8968385885260455</c:v>
                </c:pt>
                <c:pt idx="263">
                  <c:v>4.7182949281562694</c:v>
                </c:pt>
                <c:pt idx="264">
                  <c:v>4.5407955807126195</c:v>
                </c:pt>
                <c:pt idx="265">
                  <c:v>4.3643643300275796</c:v>
                </c:pt>
                <c:pt idx="266">
                  <c:v>4.1890253904791557</c:v>
                </c:pt>
                <c:pt idx="267">
                  <c:v>4.0148033437103168</c:v>
                </c:pt>
                <c:pt idx="268">
                  <c:v>3.8417230711634334</c:v>
                </c:pt>
                <c:pt idx="269">
                  <c:v>3.6698096823966955</c:v>
                </c:pt>
                <c:pt idx="270">
                  <c:v>3.4990884391773043</c:v>
                </c:pt>
                <c:pt idx="271">
                  <c:v>3.3295846753910241</c:v>
                </c:pt>
                <c:pt idx="272">
                  <c:v>3.1613237128394509</c:v>
                </c:pt>
                <c:pt idx="273">
                  <c:v>2.9943307730496995</c:v>
                </c:pt>
                <c:pt idx="274">
                  <c:v>2.8286308852638475</c:v>
                </c:pt>
                <c:pt idx="275">
                  <c:v>2.6642487908283292</c:v>
                </c:pt>
                <c:pt idx="276">
                  <c:v>2.5012088442584721</c:v>
                </c:pt>
                <c:pt idx="277">
                  <c:v>2.3395349113064774</c:v>
                </c:pt>
                <c:pt idx="278">
                  <c:v>2.1792502644242226</c:v>
                </c:pt>
                <c:pt idx="279">
                  <c:v>2.0203774760656543</c:v>
                </c:pt>
                <c:pt idx="280">
                  <c:v>1.8629383103390671</c:v>
                </c:pt>
                <c:pt idx="281">
                  <c:v>1.7069536135753078</c:v>
                </c:pt>
                <c:pt idx="282">
                  <c:v>1.5524432044368304</c:v>
                </c:pt>
                <c:pt idx="283">
                  <c:v>1.3994257642526184</c:v>
                </c:pt>
                <c:pt idx="284">
                  <c:v>1.247918728311344</c:v>
                </c:pt>
                <c:pt idx="285">
                  <c:v>1.0979381788992593</c:v>
                </c:pt>
                <c:pt idx="286">
                  <c:v>0.94949874091356068</c:v>
                </c:pt>
                <c:pt idx="287">
                  <c:v>0.80261348091472096</c:v>
                </c:pt>
                <c:pt idx="288">
                  <c:v>0.65729381051970681</c:v>
                </c:pt>
                <c:pt idx="289">
                  <c:v>0.51354939505510888</c:v>
                </c:pt>
                <c:pt idx="290">
                  <c:v>0.37138806840399546</c:v>
                </c:pt>
                <c:pt idx="291">
                  <c:v>0.23081575498696305</c:v>
                </c:pt>
                <c:pt idx="292">
                  <c:v>9.1836399803930241E-2</c:v>
                </c:pt>
                <c:pt idx="293">
                  <c:v>-4.5548092546455199E-2</c:v>
                </c:pt>
                <c:pt idx="294">
                  <c:v>-0.18133790899305441</c:v>
                </c:pt>
                <c:pt idx="295">
                  <c:v>-0.31553536842078406</c:v>
                </c:pt>
                <c:pt idx="296">
                  <c:v>-0.44814495062000503</c:v>
                </c:pt>
                <c:pt idx="297">
                  <c:v>-0.57917331303807218</c:v>
                </c:pt>
                <c:pt idx="298">
                  <c:v>-0.70862929469438607</c:v>
                </c:pt>
                <c:pt idx="299">
                  <c:v>-0.83652390671043908</c:v>
                </c:pt>
                <c:pt idx="300">
                  <c:v>-0.96287030900611292</c:v>
                </c:pt>
                <c:pt idx="301">
                  <c:v>-1.0876837728259519</c:v>
                </c:pt>
                <c:pt idx="302">
                  <c:v>-1.2109816288747417</c:v>
                </c:pt>
                <c:pt idx="303">
                  <c:v>-1.3327832009719729</c:v>
                </c:pt>
                <c:pt idx="304">
                  <c:v>-1.4531097252636846</c:v>
                </c:pt>
                <c:pt idx="305">
                  <c:v>-1.571984255170777</c:v>
                </c:pt>
                <c:pt idx="306">
                  <c:v>-1.6894315523897598</c:v>
                </c:pt>
                <c:pt idx="307">
                  <c:v>-1.8054779644039998</c:v>
                </c:pt>
                <c:pt idx="308">
                  <c:v>-1.9201512891058412</c:v>
                </c:pt>
                <c:pt idx="309">
                  <c:v>-2.0334806272667789</c:v>
                </c:pt>
                <c:pt idx="310">
                  <c:v>-2.1454962237268065</c:v>
                </c:pt>
                <c:pt idx="311">
                  <c:v>-2.2562292983067302</c:v>
                </c:pt>
                <c:pt idx="312">
                  <c:v>-2.36571186756461</c:v>
                </c:pt>
                <c:pt idx="313">
                  <c:v>-2.4739765586346723</c:v>
                </c:pt>
                <c:pt idx="314">
                  <c:v>-2.5810564164872476</c:v>
                </c:pt>
                <c:pt idx="315">
                  <c:v>-2.6869847060414038</c:v>
                </c:pt>
                <c:pt idx="316">
                  <c:v>-2.7917947106398477</c:v>
                </c:pt>
                <c:pt idx="317">
                  <c:v>-2.8955195284620272</c:v>
                </c:pt>
                <c:pt idx="318">
                  <c:v>-2.9981918684995197</c:v>
                </c:pt>
                <c:pt idx="319">
                  <c:v>-3.0998438477543759</c:v>
                </c:pt>
                <c:pt idx="320">
                  <c:v>-3.2005067913393108</c:v>
                </c:pt>
                <c:pt idx="321">
                  <c:v>-3.3002110371593982</c:v>
                </c:pt>
                <c:pt idx="322">
                  <c:v>-3.3989857468419844</c:v>
                </c:pt>
                <c:pt idx="323">
                  <c:v>-3.4968587245470051</c:v>
                </c:pt>
                <c:pt idx="324">
                  <c:v>-3.5938562452430487</c:v>
                </c:pt>
                <c:pt idx="325">
                  <c:v>-3.6900028939671592</c:v>
                </c:pt>
                <c:pt idx="326">
                  <c:v>-3.7853214175040453</c:v>
                </c:pt>
                <c:pt idx="327">
                  <c:v>-3.8798325898228643</c:v>
                </c:pt>
                <c:pt idx="328">
                  <c:v>-3.9735550924957428</c:v>
                </c:pt>
                <c:pt idx="329">
                  <c:v>-4.0665054111940986</c:v>
                </c:pt>
                <c:pt idx="330">
                  <c:v>-4.1586977492212158</c:v>
                </c:pt>
                <c:pt idx="331">
                  <c:v>-4.2501439588838092</c:v>
                </c:pt>
                <c:pt idx="332">
                  <c:v>-4.3408534913456389</c:v>
                </c:pt>
                <c:pt idx="333">
                  <c:v>-4.4308333654355216</c:v>
                </c:pt>
                <c:pt idx="334">
                  <c:v>-4.5200881557048502</c:v>
                </c:pt>
                <c:pt idx="335">
                  <c:v>-4.6086199998479414</c:v>
                </c:pt>
                <c:pt idx="336">
                  <c:v>-4.6964286254135832</c:v>
                </c:pt>
                <c:pt idx="337">
                  <c:v>-4.7835113955556272</c:v>
                </c:pt>
                <c:pt idx="338">
                  <c:v>-4.8698633733822057</c:v>
                </c:pt>
                <c:pt idx="339">
                  <c:v>-4.9554774042899172</c:v>
                </c:pt>
                <c:pt idx="340">
                  <c:v>-5.0403442154949696</c:v>
                </c:pt>
                <c:pt idx="341">
                  <c:v>-5.1244525318100829</c:v>
                </c:pt>
                <c:pt idx="342">
                  <c:v>-5.2077892065643194</c:v>
                </c:pt>
                <c:pt idx="343">
                  <c:v>-5.290339366422721</c:v>
                </c:pt>
                <c:pt idx="344">
                  <c:v>-5.3720865687364983</c:v>
                </c:pt>
                <c:pt idx="345">
                  <c:v>-5.4530129699457683</c:v>
                </c:pt>
                <c:pt idx="346">
                  <c:v>-5.5330995034671426</c:v>
                </c:pt>
                <c:pt idx="347">
                  <c:v>-5.6123260654210139</c:v>
                </c:pt>
                <c:pt idx="348">
                  <c:v>-5.6906717065044807</c:v>
                </c:pt>
                <c:pt idx="349">
                  <c:v>-5.7681148282803152</c:v>
                </c:pt>
                <c:pt idx="350">
                  <c:v>-5.8446333821403629</c:v>
                </c:pt>
                <c:pt idx="351">
                  <c:v>-5.92020506920956</c:v>
                </c:pt>
                <c:pt idx="352">
                  <c:v>-5.9948075394844231</c:v>
                </c:pt>
                <c:pt idx="353">
                  <c:v>-6.0684185885485604</c:v>
                </c:pt>
                <c:pt idx="354">
                  <c:v>-6.1410163502714576</c:v>
                </c:pt>
                <c:pt idx="355">
                  <c:v>-6.212579483983335</c:v>
                </c:pt>
                <c:pt idx="356">
                  <c:v>-6.2830873547154251</c:v>
                </c:pt>
                <c:pt idx="357">
                  <c:v>-6.3525202052113583</c:v>
                </c:pt>
                <c:pt idx="358">
                  <c:v>-6.4208593185375706</c:v>
                </c:pt>
                <c:pt idx="359">
                  <c:v>-6.488087170262431</c:v>
                </c:pt>
                <c:pt idx="360">
                  <c:v>-6.5541875693114413</c:v>
                </c:pt>
                <c:pt idx="361">
                  <c:v>-6.6191457867626156</c:v>
                </c:pt>
                <c:pt idx="362">
                  <c:v>-6.6829486719952556</c:v>
                </c:pt>
                <c:pt idx="363">
                  <c:v>-6.7455847557635806</c:v>
                </c:pt>
                <c:pt idx="364">
                  <c:v>-6.8070443399185097</c:v>
                </c:pt>
                <c:pt idx="365">
                  <c:v>-6.8673195736555979</c:v>
                </c:pt>
                <c:pt idx="366">
                  <c:v>-6.9264045163100381</c:v>
                </c:pt>
                <c:pt idx="367">
                  <c:v>-6.9842951868620284</c:v>
                </c:pt>
                <c:pt idx="368">
                  <c:v>-7.0409896004451138</c:v>
                </c:pt>
                <c:pt idx="369">
                  <c:v>-7.0964877922727574</c:v>
                </c:pt>
                <c:pt idx="370">
                  <c:v>-7.1507918295091919</c:v>
                </c:pt>
                <c:pt idx="371">
                  <c:v>-7.2039058117054875</c:v>
                </c:pt>
                <c:pt idx="372">
                  <c:v>-7.2558358605135513</c:v>
                </c:pt>
                <c:pt idx="373">
                  <c:v>-7.3065900994576278</c:v>
                </c:pt>
                <c:pt idx="374">
                  <c:v>-7.3561786246056897</c:v>
                </c:pt>
                <c:pt idx="375">
                  <c:v>-7.4046134670291579</c:v>
                </c:pt>
                <c:pt idx="376">
                  <c:v>-7.45190854797145</c:v>
                </c:pt>
                <c:pt idx="377">
                  <c:v>-7.49807962766684</c:v>
                </c:pt>
                <c:pt idx="378">
                  <c:v>-7.5431442487646034</c:v>
                </c:pt>
                <c:pt idx="379">
                  <c:v>-7.5871216753033135</c:v>
                </c:pt>
                <c:pt idx="380">
                  <c:v>-7.630032828177006</c:v>
                </c:pt>
                <c:pt idx="381">
                  <c:v>-7.6719002180090943</c:v>
                </c:pt>
                <c:pt idx="382">
                  <c:v>-7.7127478763223758</c:v>
                </c:pt>
                <c:pt idx="383">
                  <c:v>-7.7526012858583826</c:v>
                </c:pt>
                <c:pt idx="384">
                  <c:v>-7.79148731085699</c:v>
                </c:pt>
                <c:pt idx="385">
                  <c:v>-7.8294341280634496</c:v>
                </c:pt>
                <c:pt idx="386">
                  <c:v>-7.8664711591774639</c:v>
                </c:pt>
                <c:pt idx="387">
                  <c:v>-7.9026290054118631</c:v>
                </c:pt>
                <c:pt idx="388">
                  <c:v>-7.9379393847692814</c:v>
                </c:pt>
                <c:pt idx="389">
                  <c:v>-7.9724350725979711</c:v>
                </c:pt>
                <c:pt idx="390">
                  <c:v>-8.0061498459296097</c:v>
                </c:pt>
                <c:pt idx="391">
                  <c:v>-8.0391184320519891</c:v>
                </c:pt>
                <c:pt idx="392">
                  <c:v>-8.0713764617176729</c:v>
                </c:pt>
                <c:pt idx="393">
                  <c:v>-8.1029604273429854</c:v>
                </c:pt>
                <c:pt idx="394">
                  <c:v>-8.1339076465022089</c:v>
                </c:pt>
                <c:pt idx="395">
                  <c:v>-8.1642562309815201</c:v>
                </c:pt>
                <c:pt idx="396">
                  <c:v>-8.1940450616175813</c:v>
                </c:pt>
                <c:pt idx="397">
                  <c:v>-8.2233137691056939</c:v>
                </c:pt>
                <c:pt idx="398">
                  <c:v>-8.2521027209326245</c:v>
                </c:pt>
                <c:pt idx="399">
                  <c:v>-8.2804530145577893</c:v>
                </c:pt>
                <c:pt idx="400">
                  <c:v>-8.3084064769384334</c:v>
                </c:pt>
                <c:pt idx="401">
                  <c:v>-8.3360056704732202</c:v>
                </c:pt>
                <c:pt idx="402">
                  <c:v>-8.3632939054152882</c:v>
                </c:pt>
                <c:pt idx="403">
                  <c:v>-8.3903152587907144</c:v>
                </c:pt>
                <c:pt idx="404">
                  <c:v>-8.4171145998385413</c:v>
                </c:pt>
                <c:pt idx="405">
                  <c:v>-8.4437376219772435</c:v>
                </c:pt>
                <c:pt idx="406">
                  <c:v>-8.4702308812910019</c:v>
                </c:pt>
                <c:pt idx="407">
                  <c:v>-8.4966418415121208</c:v>
                </c:pt>
                <c:pt idx="408">
                  <c:v>-8.5230189254742488</c:v>
                </c:pt>
                <c:pt idx="409">
                  <c:v>-8.5494115729894062</c:v>
                </c:pt>
                <c:pt idx="410">
                  <c:v>-8.5758703051000555</c:v>
                </c:pt>
                <c:pt idx="411">
                  <c:v>-8.6024467946395884</c:v>
                </c:pt>
                <c:pt idx="412">
                  <c:v>-8.6291939430191285</c:v>
                </c:pt>
                <c:pt idx="413">
                  <c:v>-8.6561659631483003</c:v>
                </c:pt>
                <c:pt idx="414">
                  <c:v>-8.683418468368977</c:v>
                </c:pt>
                <c:pt idx="415">
                  <c:v>-8.7110085672632671</c:v>
                </c:pt>
                <c:pt idx="416">
                  <c:v>-8.7389949641656415</c:v>
                </c:pt>
                <c:pt idx="417">
                  <c:v>-8.7674380651729411</c:v>
                </c:pt>
                <c:pt idx="418">
                  <c:v>-8.7964000894087544</c:v>
                </c:pt>
                <c:pt idx="419">
                  <c:v>-8.8259451852449704</c:v>
                </c:pt>
                <c:pt idx="420">
                  <c:v>-8.8561395511299246</c:v>
                </c:pt>
                <c:pt idx="421">
                  <c:v>-8.8870515606025311</c:v>
                </c:pt>
                <c:pt idx="422">
                  <c:v>-8.9187518909992711</c:v>
                </c:pt>
                <c:pt idx="423">
                  <c:v>-8.9513136552642276</c:v>
                </c:pt>
                <c:pt idx="424">
                  <c:v>-8.9848125361816429</c:v>
                </c:pt>
                <c:pt idx="425">
                  <c:v>-9.0193269222269752</c:v>
                </c:pt>
                <c:pt idx="426">
                  <c:v>-9.0549380441103509</c:v>
                </c:pt>
                <c:pt idx="427">
                  <c:v>-9.0917301109428088</c:v>
                </c:pt>
                <c:pt idx="428">
                  <c:v>-9.129790444796658</c:v>
                </c:pt>
                <c:pt idx="429">
                  <c:v>-9.169209612261648</c:v>
                </c:pt>
                <c:pt idx="430">
                  <c:v>-9.210081551413424</c:v>
                </c:pt>
                <c:pt idx="431">
                  <c:v>-9.2525036924079984</c:v>
                </c:pt>
                <c:pt idx="432">
                  <c:v>-9.2965770697085954</c:v>
                </c:pt>
                <c:pt idx="433">
                  <c:v>-9.3424064237261035</c:v>
                </c:pt>
                <c:pt idx="434">
                  <c:v>-9.3901002894284105</c:v>
                </c:pt>
                <c:pt idx="435">
                  <c:v>-9.4397710692410346</c:v>
                </c:pt>
                <c:pt idx="436">
                  <c:v>-9.4915350873312061</c:v>
                </c:pt>
                <c:pt idx="437">
                  <c:v>-9.5455126221453632</c:v>
                </c:pt>
                <c:pt idx="438">
                  <c:v>-9.6018279138620084</c:v>
                </c:pt>
                <c:pt idx="439">
                  <c:v>-9.6606091432361314</c:v>
                </c:pt>
                <c:pt idx="440">
                  <c:v>-9.7219883781616172</c:v>
                </c:pt>
                <c:pt idx="441">
                  <c:v>-9.7861014841678919</c:v>
                </c:pt>
                <c:pt idx="442">
                  <c:v>-9.8530879950182015</c:v>
                </c:pt>
                <c:pt idx="443">
                  <c:v>-9.9230909395905744</c:v>
                </c:pt>
                <c:pt idx="444">
                  <c:v>-9.9962566213278414</c:v>
                </c:pt>
                <c:pt idx="445">
                  <c:v>-10.072734346737157</c:v>
                </c:pt>
                <c:pt idx="446">
                  <c:v>-10.152676099729021</c:v>
                </c:pt>
                <c:pt idx="447">
                  <c:v>-10.236236159019063</c:v>
                </c:pt>
                <c:pt idx="448">
                  <c:v>-10.323570656379671</c:v>
                </c:pt>
                <c:pt idx="449">
                  <c:v>-10.414837074237619</c:v>
                </c:pt>
                <c:pt idx="450">
                  <c:v>-10.510193681972551</c:v>
                </c:pt>
                <c:pt idx="451">
                  <c:v>-10.609798911269397</c:v>
                </c:pt>
                <c:pt idx="452">
                  <c:v>-10.713810672022802</c:v>
                </c:pt>
                <c:pt idx="453">
                  <c:v>-10.822385611565332</c:v>
                </c:pt>
                <c:pt idx="454">
                  <c:v>-10.935678321364705</c:v>
                </c:pt>
                <c:pt idx="455">
                  <c:v>-11.053840496800317</c:v>
                </c:pt>
                <c:pt idx="456">
                  <c:v>-11.177020057126608</c:v>
                </c:pt>
                <c:pt idx="457">
                  <c:v>-11.305360234238893</c:v>
                </c:pt>
                <c:pt idx="458">
                  <c:v>-11.43899864030179</c:v>
                </c:pt>
                <c:pt idx="459">
                  <c:v>-11.578066325656826</c:v>
                </c:pt>
                <c:pt idx="460">
                  <c:v>-11.722686839596484</c:v>
                </c:pt>
                <c:pt idx="461">
                  <c:v>-11.872975307557255</c:v>
                </c:pt>
                <c:pt idx="462">
                  <c:v>-12.029037538959027</c:v>
                </c:pt>
                <c:pt idx="463">
                  <c:v>-12.190969180263899</c:v>
                </c:pt>
                <c:pt idx="464">
                  <c:v>-12.358854927797934</c:v>
                </c:pt>
                <c:pt idx="465">
                  <c:v>-12.532767814464682</c:v>
                </c:pt>
                <c:pt idx="466">
                  <c:v>-12.712768583622546</c:v>
                </c:pt>
                <c:pt idx="467">
                  <c:v>-12.898905162162187</c:v>
                </c:pt>
                <c:pt idx="468">
                  <c:v>-13.09121224317694</c:v>
                </c:pt>
                <c:pt idx="469">
                  <c:v>-13.289710986639136</c:v>
                </c:pt>
                <c:pt idx="470">
                  <c:v>-13.494408844231904</c:v>
                </c:pt>
                <c:pt idx="471">
                  <c:v>-13.705299511997616</c:v>
                </c:pt>
                <c:pt idx="472">
                  <c:v>-13.92236301186281</c:v>
                </c:pt>
                <c:pt idx="473">
                  <c:v>-14.145565900448245</c:v>
                </c:pt>
                <c:pt idx="474">
                  <c:v>-14.374861600984071</c:v>
                </c:pt>
                <c:pt idx="475">
                  <c:v>-14.610190851706777</c:v>
                </c:pt>
                <c:pt idx="476">
                  <c:v>-14.851482261901731</c:v>
                </c:pt>
                <c:pt idx="477">
                  <c:v>-15.098652964835221</c:v>
                </c:pt>
                <c:pt idx="478">
                  <c:v>-15.351609355271014</c:v>
                </c:pt>
                <c:pt idx="479">
                  <c:v>-15.610247898087659</c:v>
                </c:pt>
                <c:pt idx="480">
                  <c:v>-15.874455993766812</c:v>
                </c:pt>
                <c:pt idx="481">
                  <c:v>-16.144112886175527</c:v>
                </c:pt>
                <c:pt idx="482">
                  <c:v>-16.419090598121596</c:v>
                </c:pt>
                <c:pt idx="483">
                  <c:v>-16.699254880574927</c:v>
                </c:pt>
                <c:pt idx="484">
                  <c:v>-16.984466162191577</c:v>
                </c:pt>
                <c:pt idx="485">
                  <c:v>-17.274580486780774</c:v>
                </c:pt>
                <c:pt idx="486">
                  <c:v>-17.569450427579049</c:v>
                </c:pt>
                <c:pt idx="487">
                  <c:v>-17.868925968564049</c:v>
                </c:pt>
                <c:pt idx="488">
                  <c:v>-18.172855344509212</c:v>
                </c:pt>
                <c:pt idx="489">
                  <c:v>-18.481085832987453</c:v>
                </c:pt>
                <c:pt idx="490">
                  <c:v>-18.793464493023787</c:v>
                </c:pt>
                <c:pt idx="491">
                  <c:v>-19.109838846546321</c:v>
                </c:pt>
                <c:pt idx="492">
                  <c:v>-19.430057500139991</c:v>
                </c:pt>
                <c:pt idx="493">
                  <c:v>-19.753970705852431</c:v>
                </c:pt>
                <c:pt idx="494">
                  <c:v>-20.081430860918058</c:v>
                </c:pt>
                <c:pt idx="495">
                  <c:v>-20.412292947233198</c:v>
                </c:pt>
                <c:pt idx="496">
                  <c:v>-20.746414912245005</c:v>
                </c:pt>
                <c:pt idx="497">
                  <c:v>-21.08365799358787</c:v>
                </c:pt>
                <c:pt idx="498">
                  <c:v>-21.423886990342687</c:v>
                </c:pt>
                <c:pt idx="499">
                  <c:v>-21.766970484193155</c:v>
                </c:pt>
                <c:pt idx="500">
                  <c:v>-22.112781014041047</c:v>
                </c:pt>
                <c:pt idx="501">
                  <c:v>-22.461195207811041</c:v>
                </c:pt>
                <c:pt idx="502">
                  <c:v>-22.812093875262324</c:v>
                </c:pt>
                <c:pt idx="503">
                  <c:v>-23.165362065616463</c:v>
                </c:pt>
                <c:pt idx="504">
                  <c:v>-23.520889093752256</c:v>
                </c:pt>
                <c:pt idx="505">
                  <c:v>-23.878568538589278</c:v>
                </c:pt>
                <c:pt idx="506">
                  <c:v>-24.238298217127227</c:v>
                </c:pt>
                <c:pt idx="507">
                  <c:v>-24.599980137407677</c:v>
                </c:pt>
                <c:pt idx="508">
                  <c:v>-24.963520433454054</c:v>
                </c:pt>
                <c:pt idx="509">
                  <c:v>-25.328829285015736</c:v>
                </c:pt>
                <c:pt idx="510">
                  <c:v>-25.695820824705411</c:v>
                </c:pt>
                <c:pt idx="511">
                  <c:v>-26.064413034887725</c:v>
                </c:pt>
                <c:pt idx="512">
                  <c:v>-26.434527636436925</c:v>
                </c:pt>
                <c:pt idx="513">
                  <c:v>-26.806089971267852</c:v>
                </c:pt>
                <c:pt idx="514">
                  <c:v>-27.179028880319578</c:v>
                </c:pt>
                <c:pt idx="515">
                  <c:v>-27.553276578475604</c:v>
                </c:pt>
                <c:pt idx="516">
                  <c:v>-27.928768527713647</c:v>
                </c:pt>
                <c:pt idx="517">
                  <c:v>-28.305443309603071</c:v>
                </c:pt>
                <c:pt idx="518">
                  <c:v>-28.683242498108854</c:v>
                </c:pt>
                <c:pt idx="519">
                  <c:v>-29.062110533514819</c:v>
                </c:pt>
                <c:pt idx="520">
                  <c:v>-29.441994598147048</c:v>
                </c:pt>
                <c:pt idx="521">
                  <c:v>-29.822844494461947</c:v>
                </c:pt>
                <c:pt idx="522">
                  <c:v>-30.204612525956978</c:v>
                </c:pt>
                <c:pt idx="523">
                  <c:v>-30.587253381268855</c:v>
                </c:pt>
                <c:pt idx="524">
                  <c:v>-30.970724021745035</c:v>
                </c:pt>
                <c:pt idx="525">
                  <c:v>-31.354983572699105</c:v>
                </c:pt>
                <c:pt idx="526">
                  <c:v>-31.739993218501805</c:v>
                </c:pt>
                <c:pt idx="527">
                  <c:v>-32.125716101606507</c:v>
                </c:pt>
                <c:pt idx="528">
                  <c:v>-32.512117225558328</c:v>
                </c:pt>
                <c:pt idx="529">
                  <c:v>-32.899163362004835</c:v>
                </c:pt>
                <c:pt idx="530">
                  <c:v>-33.286822961685033</c:v>
                </c:pt>
                <c:pt idx="531">
                  <c:v>-33.675066069355267</c:v>
                </c:pt>
                <c:pt idx="532">
                  <c:v>-34.063864242581609</c:v>
                </c:pt>
                <c:pt idx="533">
                  <c:v>-34.453190474316614</c:v>
                </c:pt>
                <c:pt idx="534">
                  <c:v>-34.84301911915778</c:v>
                </c:pt>
                <c:pt idx="535">
                  <c:v>-35.233325823180074</c:v>
                </c:pt>
                <c:pt idx="536">
                  <c:v>-35.624087457223311</c:v>
                </c:pt>
                <c:pt idx="537">
                  <c:v>-36.015282053511022</c:v>
                </c:pt>
                <c:pt idx="538">
                  <c:v>-36.406888745471839</c:v>
                </c:pt>
                <c:pt idx="539">
                  <c:v>-36.79888771063483</c:v>
                </c:pt>
                <c:pt idx="540">
                  <c:v>-37.191260116467483</c:v>
                </c:pt>
                <c:pt idx="541">
                  <c:v>-37.583988069026667</c:v>
                </c:pt>
              </c:numCache>
            </c:numRef>
          </c:yVal>
          <c:smooth val="1"/>
          <c:extLst>
            <c:ext xmlns:c16="http://schemas.microsoft.com/office/drawing/2014/chart" uri="{C3380CC4-5D6E-409C-BE32-E72D297353CC}">
              <c16:uniqueId val="{00000000-8173-45EB-83AD-B179A66292B6}"/>
            </c:ext>
          </c:extLst>
        </c:ser>
        <c:dLbls>
          <c:showLegendKey val="0"/>
          <c:showVal val="0"/>
          <c:showCatName val="0"/>
          <c:showSerName val="0"/>
          <c:showPercent val="0"/>
          <c:showBubbleSize val="0"/>
        </c:dLbls>
        <c:axId val="555528192"/>
        <c:axId val="55553011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75.214432754431726</c:v>
                </c:pt>
                <c:pt idx="1">
                  <c:v>74.889779213281273</c:v>
                </c:pt>
                <c:pt idx="2">
                  <c:v>74.558882628995846</c:v>
                </c:pt>
                <c:pt idx="3">
                  <c:v>74.221681394011171</c:v>
                </c:pt>
                <c:pt idx="4">
                  <c:v>73.878117309595453</c:v>
                </c:pt>
                <c:pt idx="5">
                  <c:v>73.528135892414298</c:v>
                </c:pt>
                <c:pt idx="6">
                  <c:v>73.171686693112591</c:v>
                </c:pt>
                <c:pt idx="7">
                  <c:v>72.808723626615063</c:v>
                </c:pt>
                <c:pt idx="8">
                  <c:v>72.439205313735968</c:v>
                </c:pt>
                <c:pt idx="9">
                  <c:v>72.063095433588757</c:v>
                </c:pt>
                <c:pt idx="10">
                  <c:v>71.680363086155978</c:v>
                </c:pt>
                <c:pt idx="11">
                  <c:v>71.290983164261874</c:v>
                </c:pt>
                <c:pt idx="12">
                  <c:v>70.894936734048827</c:v>
                </c:pt>
                <c:pt idx="13">
                  <c:v>70.492211422916398</c:v>
                </c:pt>
                <c:pt idx="14">
                  <c:v>70.082801813732587</c:v>
                </c:pt>
                <c:pt idx="15">
                  <c:v>69.666709843969727</c:v>
                </c:pt>
                <c:pt idx="16">
                  <c:v>69.24394520825652</c:v>
                </c:pt>
                <c:pt idx="17">
                  <c:v>68.814525762669703</c:v>
                </c:pt>
                <c:pt idx="18">
                  <c:v>68.378477928926344</c:v>
                </c:pt>
                <c:pt idx="19">
                  <c:v>67.935837096464041</c:v>
                </c:pt>
                <c:pt idx="20">
                  <c:v>67.486648020233261</c:v>
                </c:pt>
                <c:pt idx="21">
                  <c:v>67.030965211860746</c:v>
                </c:pt>
                <c:pt idx="22">
                  <c:v>66.568853321689843</c:v>
                </c:pt>
                <c:pt idx="23">
                  <c:v>66.100387509047636</c:v>
                </c:pt>
                <c:pt idx="24">
                  <c:v>65.625653797964105</c:v>
                </c:pt>
                <c:pt idx="25">
                  <c:v>65.144749415435371</c:v>
                </c:pt>
                <c:pt idx="26">
                  <c:v>64.657783109230692</c:v>
                </c:pt>
                <c:pt idx="27">
                  <c:v>64.164875442149821</c:v>
                </c:pt>
                <c:pt idx="28">
                  <c:v>63.666159059592523</c:v>
                </c:pt>
                <c:pt idx="29">
                  <c:v>63.161778927261658</c:v>
                </c:pt>
                <c:pt idx="30">
                  <c:v>62.65189253583042</c:v>
                </c:pt>
                <c:pt idx="31">
                  <c:v>62.136670069438118</c:v>
                </c:pt>
                <c:pt idx="32">
                  <c:v>61.616294534954385</c:v>
                </c:pt>
                <c:pt idx="33">
                  <c:v>61.09096184905691</c:v>
                </c:pt>
                <c:pt idx="34">
                  <c:v>60.560880880334359</c:v>
                </c:pt>
                <c:pt idx="35">
                  <c:v>60.026273443808506</c:v>
                </c:pt>
                <c:pt idx="36">
                  <c:v>59.48737424552025</c:v>
                </c:pt>
                <c:pt idx="37">
                  <c:v>58.944430775099711</c:v>
                </c:pt>
                <c:pt idx="38">
                  <c:v>58.397703144569853</c:v>
                </c:pt>
                <c:pt idx="39">
                  <c:v>57.847463871999267</c:v>
                </c:pt>
                <c:pt idx="40">
                  <c:v>57.293997609020863</c:v>
                </c:pt>
                <c:pt idx="41">
                  <c:v>56.737600811677076</c:v>
                </c:pt>
                <c:pt idx="42">
                  <c:v>56.178581354519082</c:v>
                </c:pt>
                <c:pt idx="43">
                  <c:v>55.617258088385647</c:v>
                </c:pt>
                <c:pt idx="44">
                  <c:v>55.053960342795996</c:v>
                </c:pt>
                <c:pt idx="45">
                  <c:v>54.489027374429661</c:v>
                </c:pt>
                <c:pt idx="46">
                  <c:v>53.922807763682428</c:v>
                </c:pt>
                <c:pt idx="47">
                  <c:v>53.355658761835208</c:v>
                </c:pt>
                <c:pt idx="48">
                  <c:v>52.787945591873303</c:v>
                </c:pt>
                <c:pt idx="49">
                  <c:v>52.220040706507291</c:v>
                </c:pt>
                <c:pt idx="50">
                  <c:v>51.65232300740913</c:v>
                </c:pt>
                <c:pt idx="51">
                  <c:v>51.085177030112</c:v>
                </c:pt>
                <c:pt idx="52">
                  <c:v>50.518992099422803</c:v>
                </c:pt>
                <c:pt idx="53">
                  <c:v>49.954161460521419</c:v>
                </c:pt>
                <c:pt idx="54">
                  <c:v>49.391081391218584</c:v>
                </c:pt>
                <c:pt idx="55">
                  <c:v>48.830150301055866</c:v>
                </c:pt>
                <c:pt idx="56">
                  <c:v>48.271767823087956</c:v>
                </c:pt>
                <c:pt idx="57">
                  <c:v>47.716333904266151</c:v>
                </c:pt>
                <c:pt idx="58">
                  <c:v>47.164247900369354</c:v>
                </c:pt>
                <c:pt idx="59">
                  <c:v>46.615907681341959</c:v>
                </c:pt>
                <c:pt idx="60">
                  <c:v>46.071708752800596</c:v>
                </c:pt>
                <c:pt idx="61">
                  <c:v>45.532043399245495</c:v>
                </c:pt>
                <c:pt idx="62">
                  <c:v>44.997299854264142</c:v>
                </c:pt>
                <c:pt idx="63">
                  <c:v>44.467861502687164</c:v>
                </c:pt>
                <c:pt idx="64">
                  <c:v>43.94410611928155</c:v>
                </c:pt>
                <c:pt idx="65">
                  <c:v>43.426405148141278</c:v>
                </c:pt>
                <c:pt idx="66">
                  <c:v>42.915123026467043</c:v>
                </c:pt>
                <c:pt idx="67">
                  <c:v>42.410616555945495</c:v>
                </c:pt>
                <c:pt idx="68">
                  <c:v>41.913234324407412</c:v>
                </c:pt>
                <c:pt idx="69">
                  <c:v>41.423316179914202</c:v>
                </c:pt>
                <c:pt idx="70">
                  <c:v>40.941192758887283</c:v>
                </c:pt>
                <c:pt idx="71">
                  <c:v>40.467185069355644</c:v>
                </c:pt>
                <c:pt idx="72">
                  <c:v>40.001604129865498</c:v>
                </c:pt>
                <c:pt idx="73">
                  <c:v>39.544750664084411</c:v>
                </c:pt>
                <c:pt idx="74">
                  <c:v>39.096914850648304</c:v>
                </c:pt>
                <c:pt idx="75">
                  <c:v>38.65837612732934</c:v>
                </c:pt>
                <c:pt idx="76">
                  <c:v>38.229403048185198</c:v>
                </c:pt>
                <c:pt idx="77">
                  <c:v>37.810253191944007</c:v>
                </c:pt>
                <c:pt idx="78">
                  <c:v>37.401173119545454</c:v>
                </c:pt>
                <c:pt idx="79">
                  <c:v>37.002398378429653</c:v>
                </c:pt>
                <c:pt idx="80">
                  <c:v>36.614153550913457</c:v>
                </c:pt>
                <c:pt idx="81">
                  <c:v>36.236652343754926</c:v>
                </c:pt>
                <c:pt idx="82">
                  <c:v>35.870097715838561</c:v>
                </c:pt>
                <c:pt idx="83">
                  <c:v>35.514682040762004</c:v>
                </c:pt>
                <c:pt idx="84">
                  <c:v>35.170587301011246</c:v>
                </c:pt>
                <c:pt idx="85">
                  <c:v>34.83798531034676</c:v>
                </c:pt>
                <c:pt idx="86">
                  <c:v>34.517037960993257</c:v>
                </c:pt>
                <c:pt idx="87">
                  <c:v>34.207897492235503</c:v>
                </c:pt>
                <c:pt idx="88">
                  <c:v>33.910706777050898</c:v>
                </c:pt>
                <c:pt idx="89">
                  <c:v>33.625599623473583</c:v>
                </c:pt>
                <c:pt idx="90">
                  <c:v>33.352701087467487</c:v>
                </c:pt>
                <c:pt idx="91">
                  <c:v>33.092127794184762</c:v>
                </c:pt>
                <c:pt idx="92">
                  <c:v>32.843988264608946</c:v>
                </c:pt>
                <c:pt idx="93">
                  <c:v>32.60838324471289</c:v>
                </c:pt>
                <c:pt idx="94">
                  <c:v>32.385406034401456</c:v>
                </c:pt>
                <c:pt idx="95">
                  <c:v>32.175142813663165</c:v>
                </c:pt>
                <c:pt idx="96">
                  <c:v>31.977672963508923</c:v>
                </c:pt>
                <c:pt idx="97">
                  <c:v>31.793069379432627</c:v>
                </c:pt>
                <c:pt idx="98">
                  <c:v>31.621398775293788</c:v>
                </c:pt>
                <c:pt idx="99">
                  <c:v>31.462721975674668</c:v>
                </c:pt>
                <c:pt idx="100">
                  <c:v>31.317094194928927</c:v>
                </c:pt>
                <c:pt idx="101">
                  <c:v>31.184565301287087</c:v>
                </c:pt>
                <c:pt idx="102">
                  <c:v>31.06518006454306</c:v>
                </c:pt>
                <c:pt idx="103">
                  <c:v>30.958978385980647</c:v>
                </c:pt>
                <c:pt idx="104">
                  <c:v>30.865995509354359</c:v>
                </c:pt>
                <c:pt idx="105">
                  <c:v>30.786262211858524</c:v>
                </c:pt>
                <c:pt idx="106">
                  <c:v>30.719804974166806</c:v>
                </c:pt>
                <c:pt idx="107">
                  <c:v>30.666646128733753</c:v>
                </c:pt>
                <c:pt idx="108">
                  <c:v>30.626803985685296</c:v>
                </c:pt>
                <c:pt idx="109">
                  <c:v>30.600292935725474</c:v>
                </c:pt>
                <c:pt idx="110">
                  <c:v>30.587123529616477</c:v>
                </c:pt>
                <c:pt idx="111">
                  <c:v>30.587302533884358</c:v>
                </c:pt>
                <c:pt idx="112">
                  <c:v>30.600832962516485</c:v>
                </c:pt>
                <c:pt idx="113">
                  <c:v>30.627714084516818</c:v>
                </c:pt>
                <c:pt idx="114">
                  <c:v>30.667941407297064</c:v>
                </c:pt>
                <c:pt idx="115">
                  <c:v>30.721506635971505</c:v>
                </c:pt>
                <c:pt idx="116">
                  <c:v>30.788397608742837</c:v>
                </c:pt>
                <c:pt idx="117">
                  <c:v>30.868598208660504</c:v>
                </c:pt>
                <c:pt idx="118">
                  <c:v>30.962088252141417</c:v>
                </c:pt>
                <c:pt idx="119">
                  <c:v>31.068843354765182</c:v>
                </c:pt>
                <c:pt idx="120">
                  <c:v>31.188834774951232</c:v>
                </c:pt>
                <c:pt idx="121">
                  <c:v>31.322029236259393</c:v>
                </c:pt>
                <c:pt idx="122">
                  <c:v>31.468388729172517</c:v>
                </c:pt>
                <c:pt idx="123">
                  <c:v>31.627870293344184</c:v>
                </c:pt>
                <c:pt idx="124">
                  <c:v>31.800425781434864</c:v>
                </c:pt>
                <c:pt idx="125">
                  <c:v>31.986001605792016</c:v>
                </c:pt>
                <c:pt idx="126">
                  <c:v>32.184538469376903</c:v>
                </c:pt>
                <c:pt idx="127">
                  <c:v>32.395971082487542</c:v>
                </c:pt>
                <c:pt idx="128">
                  <c:v>32.620227866979548</c:v>
                </c:pt>
                <c:pt idx="129">
                  <c:v>32.857230649845597</c:v>
                </c:pt>
                <c:pt idx="130">
                  <c:v>33.106894348167728</c:v>
                </c:pt>
                <c:pt idx="131">
                  <c:v>33.369126647621705</c:v>
                </c:pt>
                <c:pt idx="132">
                  <c:v>33.643827676869449</c:v>
                </c:pt>
                <c:pt idx="133">
                  <c:v>33.93088968033409</c:v>
                </c:pt>
                <c:pt idx="134">
                  <c:v>34.230196692003247</c:v>
                </c:pt>
                <c:pt idx="135">
                  <c:v>34.54162421305854</c:v>
                </c:pt>
                <c:pt idx="136">
                  <c:v>34.865038896260849</c:v>
                </c:pt>
                <c:pt idx="137">
                  <c:v>35.200298240152179</c:v>
                </c:pt>
                <c:pt idx="138">
                  <c:v>35.547250296242552</c:v>
                </c:pt>
                <c:pt idx="139">
                  <c:v>35.90573339244736</c:v>
                </c:pt>
                <c:pt idx="140">
                  <c:v>36.275575876113855</c:v>
                </c:pt>
                <c:pt idx="141">
                  <c:v>36.656595880017235</c:v>
                </c:pt>
                <c:pt idx="142">
                  <c:v>37.048601114738027</c:v>
                </c:pt>
                <c:pt idx="143">
                  <c:v>37.45138869081272</c:v>
                </c:pt>
                <c:pt idx="144">
                  <c:v>37.864744974015608</c:v>
                </c:pt>
                <c:pt idx="145">
                  <c:v>38.288445477038309</c:v>
                </c:pt>
                <c:pt idx="146">
                  <c:v>38.722254790728883</c:v>
                </c:pt>
                <c:pt idx="147">
                  <c:v>39.16592655787943</c:v>
                </c:pt>
                <c:pt idx="148">
                  <c:v>39.61920349236</c:v>
                </c:pt>
                <c:pt idx="149">
                  <c:v>40.08181744614415</c:v>
                </c:pt>
                <c:pt idx="150">
                  <c:v>40.553489526490395</c:v>
                </c:pt>
                <c:pt idx="151">
                  <c:v>41.033930265208852</c:v>
                </c:pt>
                <c:pt idx="152">
                  <c:v>41.522839841574843</c:v>
                </c:pt>
                <c:pt idx="153">
                  <c:v>42.019908360040787</c:v>
                </c:pt>
                <c:pt idx="154">
                  <c:v>42.524816183452913</c:v>
                </c:pt>
                <c:pt idx="155">
                  <c:v>43.037234322003528</c:v>
                </c:pt>
                <c:pt idx="156">
                  <c:v>43.55682487765619</c:v>
                </c:pt>
                <c:pt idx="157">
                  <c:v>44.083241543244739</c:v>
                </c:pt>
                <c:pt idx="158">
                  <c:v>44.616130154931916</c:v>
                </c:pt>
                <c:pt idx="159">
                  <c:v>45.155129296156773</c:v>
                </c:pt>
                <c:pt idx="160">
                  <c:v>45.699870950677635</c:v>
                </c:pt>
                <c:pt idx="161">
                  <c:v>46.249981201775995</c:v>
                </c:pt>
                <c:pt idx="162">
                  <c:v>46.80508097418857</c:v>
                </c:pt>
                <c:pt idx="163">
                  <c:v>47.364786814846624</c:v>
                </c:pt>
                <c:pt idx="164">
                  <c:v>47.928711708059772</c:v>
                </c:pt>
                <c:pt idx="165">
                  <c:v>48.496465920370674</c:v>
                </c:pt>
                <c:pt idx="166">
                  <c:v>49.067657869965181</c:v>
                </c:pt>
                <c:pt idx="167">
                  <c:v>49.641895015212377</c:v>
                </c:pt>
                <c:pt idx="168">
                  <c:v>50.218784756685871</c:v>
                </c:pt>
                <c:pt idx="169">
                  <c:v>50.79793534684061</c:v>
                </c:pt>
                <c:pt idx="170">
                  <c:v>51.37895680142708</c:v>
                </c:pt>
                <c:pt idx="171">
                  <c:v>51.961461806694558</c:v>
                </c:pt>
                <c:pt idx="172">
                  <c:v>52.545066616477733</c:v>
                </c:pt>
                <c:pt idx="173">
                  <c:v>53.129391933381008</c:v>
                </c:pt>
                <c:pt idx="174">
                  <c:v>53.714063768453592</c:v>
                </c:pt>
                <c:pt idx="175">
                  <c:v>54.298714273999494</c:v>
                </c:pt>
                <c:pt idx="176">
                  <c:v>54.882982544477791</c:v>
                </c:pt>
                <c:pt idx="177">
                  <c:v>55.466515380808453</c:v>
                </c:pt>
                <c:pt idx="178">
                  <c:v>56.048968013809692</c:v>
                </c:pt>
                <c:pt idx="179">
                  <c:v>56.630004782946791</c:v>
                </c:pt>
                <c:pt idx="180">
                  <c:v>57.20929976705964</c:v>
                </c:pt>
                <c:pt idx="181">
                  <c:v>57.786537364228856</c:v>
                </c:pt>
                <c:pt idx="182">
                  <c:v>58.361412818485299</c:v>
                </c:pt>
                <c:pt idx="183">
                  <c:v>58.933632691578929</c:v>
                </c:pt>
                <c:pt idx="184">
                  <c:v>59.502915278560501</c:v>
                </c:pt>
                <c:pt idx="185">
                  <c:v>60.068990966451977</c:v>
                </c:pt>
                <c:pt idx="186">
                  <c:v>60.631602535784403</c:v>
                </c:pt>
                <c:pt idx="187">
                  <c:v>61.190505405257703</c:v>
                </c:pt>
                <c:pt idx="188">
                  <c:v>61.745467820242311</c:v>
                </c:pt>
                <c:pt idx="189">
                  <c:v>62.296270986261241</c:v>
                </c:pt>
                <c:pt idx="190">
                  <c:v>62.842709148964929</c:v>
                </c:pt>
                <c:pt idx="191">
                  <c:v>63.384589622475225</c:v>
                </c:pt>
                <c:pt idx="192">
                  <c:v>63.921732768265919</c:v>
                </c:pt>
                <c:pt idx="193">
                  <c:v>64.45397192700247</c:v>
                </c:pt>
                <c:pt idx="194">
                  <c:v>64.981153306001019</c:v>
                </c:pt>
                <c:pt idx="195">
                  <c:v>65.503135825113645</c:v>
                </c:pt>
                <c:pt idx="196">
                  <c:v>66.019790924000247</c:v>
                </c:pt>
                <c:pt idx="197">
                  <c:v>66.531002333827232</c:v>
                </c:pt>
                <c:pt idx="198">
                  <c:v>67.036665816481104</c:v>
                </c:pt>
                <c:pt idx="199">
                  <c:v>67.536688874420093</c:v>
                </c:pt>
                <c:pt idx="200">
                  <c:v>68.030990434240607</c:v>
                </c:pt>
                <c:pt idx="201">
                  <c:v>68.51950050702348</c:v>
                </c:pt>
                <c:pt idx="202">
                  <c:v>69.002159828416424</c:v>
                </c:pt>
                <c:pt idx="203">
                  <c:v>69.478919481343112</c:v>
                </c:pt>
                <c:pt idx="204">
                  <c:v>69.949740504087202</c:v>
                </c:pt>
                <c:pt idx="205">
                  <c:v>70.414593486382003</c:v>
                </c:pt>
                <c:pt idx="206">
                  <c:v>70.873458155984551</c:v>
                </c:pt>
                <c:pt idx="207">
                  <c:v>71.326322958046561</c:v>
                </c:pt>
                <c:pt idx="208">
                  <c:v>71.773184629443577</c:v>
                </c:pt>
                <c:pt idx="209">
                  <c:v>72.214047770037197</c:v>
                </c:pt>
                <c:pt idx="210">
                  <c:v>72.648924412680671</c:v>
                </c:pt>
                <c:pt idx="211">
                  <c:v>73.077833593599536</c:v>
                </c:pt>
                <c:pt idx="212">
                  <c:v>73.500800924602217</c:v>
                </c:pt>
                <c:pt idx="213">
                  <c:v>73.917858168412678</c:v>
                </c:pt>
                <c:pt idx="214">
                  <c:v>74.329042818238321</c:v>
                </c:pt>
                <c:pt idx="215">
                  <c:v>74.73439768253516</c:v>
                </c:pt>
                <c:pt idx="216">
                  <c:v>75.133970475770198</c:v>
                </c:pt>
                <c:pt idx="217">
                  <c:v>75.527813415837201</c:v>
                </c:pt>
                <c:pt idx="218">
                  <c:v>75.915982828638093</c:v>
                </c:pt>
                <c:pt idx="219">
                  <c:v>76.298538760210832</c:v>
                </c:pt>
                <c:pt idx="220">
                  <c:v>76.675544596663059</c:v>
                </c:pt>
                <c:pt idx="221">
                  <c:v>77.047066692051956</c:v>
                </c:pt>
                <c:pt idx="222">
                  <c:v>77.413174004246287</c:v>
                </c:pt>
                <c:pt idx="223">
                  <c:v>77.773937738709236</c:v>
                </c:pt>
                <c:pt idx="224">
                  <c:v>78.129431000048413</c:v>
                </c:pt>
                <c:pt idx="225">
                  <c:v>78.479728451100016</c:v>
                </c:pt>
                <c:pt idx="226">
                  <c:v>78.824905979245017</c:v>
                </c:pt>
                <c:pt idx="227">
                  <c:v>79.165040369578847</c:v>
                </c:pt>
                <c:pt idx="228">
                  <c:v>79.500208984511573</c:v>
                </c:pt>
                <c:pt idx="229">
                  <c:v>79.830489449318961</c:v>
                </c:pt>
                <c:pt idx="230">
                  <c:v>80.155959343120145</c:v>
                </c:pt>
                <c:pt idx="231">
                  <c:v>80.476695894723989</c:v>
                </c:pt>
                <c:pt idx="232">
                  <c:v>80.792775682756542</c:v>
                </c:pt>
                <c:pt idx="233">
                  <c:v>81.104274339459749</c:v>
                </c:pt>
                <c:pt idx="234">
                  <c:v>81.41126625752733</c:v>
                </c:pt>
                <c:pt idx="235">
                  <c:v>81.713824299341823</c:v>
                </c:pt>
                <c:pt idx="236">
                  <c:v>82.012019507966727</c:v>
                </c:pt>
                <c:pt idx="237">
                  <c:v>82.305920819245216</c:v>
                </c:pt>
                <c:pt idx="238">
                  <c:v>82.595594774369289</c:v>
                </c:pt>
                <c:pt idx="239">
                  <c:v>82.88110523228957</c:v>
                </c:pt>
                <c:pt idx="240">
                  <c:v>83.162513081357474</c:v>
                </c:pt>
                <c:pt idx="241">
                  <c:v>83.439875949610752</c:v>
                </c:pt>
                <c:pt idx="242">
                  <c:v>83.713247913149345</c:v>
                </c:pt>
                <c:pt idx="243">
                  <c:v>83.982679202075005</c:v>
                </c:pt>
                <c:pt idx="244">
                  <c:v>84.248215903519224</c:v>
                </c:pt>
                <c:pt idx="245">
                  <c:v>84.509899661329626</c:v>
                </c:pt>
                <c:pt idx="246">
                  <c:v>84.767767372032779</c:v>
                </c:pt>
                <c:pt idx="247">
                  <c:v>85.021850876770259</c:v>
                </c:pt>
                <c:pt idx="248">
                  <c:v>85.272176648957043</c:v>
                </c:pt>
                <c:pt idx="249">
                  <c:v>85.518765477501248</c:v>
                </c:pt>
                <c:pt idx="250">
                  <c:v>85.761632145505857</c:v>
                </c:pt>
                <c:pt idx="251">
                  <c:v>86.000785104464086</c:v>
                </c:pt>
                <c:pt idx="252">
                  <c:v>86.236226144067913</c:v>
                </c:pt>
                <c:pt idx="253">
                  <c:v>86.467950057855063</c:v>
                </c:pt>
                <c:pt idx="254">
                  <c:v>86.695944305042673</c:v>
                </c:pt>
                <c:pt idx="255">
                  <c:v>86.920188669023929</c:v>
                </c:pt>
                <c:pt idx="256">
                  <c:v>87.140654913137965</c:v>
                </c:pt>
                <c:pt idx="257">
                  <c:v>87.357306434475333</c:v>
                </c:pt>
                <c:pt idx="258">
                  <c:v>87.57009791662901</c:v>
                </c:pt>
                <c:pt idx="259">
                  <c:v>87.778974982468498</c:v>
                </c:pt>
                <c:pt idx="260">
                  <c:v>87.98387384818021</c:v>
                </c:pt>
                <c:pt idx="261">
                  <c:v>88.18472097999684</c:v>
                </c:pt>
                <c:pt idx="262">
                  <c:v>88.381432755216238</c:v>
                </c:pt>
                <c:pt idx="263">
                  <c:v>88.573915129302591</c:v>
                </c:pt>
                <c:pt idx="264">
                  <c:v>88.762063311043065</c:v>
                </c:pt>
                <c:pt idx="265">
                  <c:v>88.945761447933634</c:v>
                </c:pt>
                <c:pt idx="266">
                  <c:v>89.124882324149553</c:v>
                </c:pt>
                <c:pt idx="267">
                  <c:v>89.299287073647164</c:v>
                </c:pt>
                <c:pt idx="268">
                  <c:v>89.468824911125395</c:v>
                </c:pt>
                <c:pt idx="269">
                  <c:v>89.633332883745382</c:v>
                </c:pt>
                <c:pt idx="270">
                  <c:v>89.792635646674782</c:v>
                </c:pt>
                <c:pt idx="271">
                  <c:v>89.946545265668206</c:v>
                </c:pt>
                <c:pt idx="272">
                  <c:v>90.09486105002469</c:v>
                </c:pt>
                <c:pt idx="273">
                  <c:v>90.237369419376805</c:v>
                </c:pt>
                <c:pt idx="274">
                  <c:v>90.373843807850619</c:v>
                </c:pt>
                <c:pt idx="275">
                  <c:v>90.504044609185371</c:v>
                </c:pt>
                <c:pt idx="276">
                  <c:v>90.627719166433323</c:v>
                </c:pt>
                <c:pt idx="277">
                  <c:v>90.744601809847538</c:v>
                </c:pt>
                <c:pt idx="278">
                  <c:v>90.854413946507151</c:v>
                </c:pt>
                <c:pt idx="279">
                  <c:v>90.956864205145607</c:v>
                </c:pt>
                <c:pt idx="280">
                  <c:v>91.051648639499135</c:v>
                </c:pt>
                <c:pt idx="281">
                  <c:v>91.138450993311992</c:v>
                </c:pt>
                <c:pt idx="282">
                  <c:v>91.216943029897308</c:v>
                </c:pt>
                <c:pt idx="283">
                  <c:v>91.286784928859973</c:v>
                </c:pt>
                <c:pt idx="284">
                  <c:v>91.347625752255681</c:v>
                </c:pt>
                <c:pt idx="285">
                  <c:v>91.399103982067828</c:v>
                </c:pt>
                <c:pt idx="286">
                  <c:v>91.440848130443598</c:v>
                </c:pt>
                <c:pt idx="287">
                  <c:v>91.472477423643028</c:v>
                </c:pt>
                <c:pt idx="288">
                  <c:v>91.493602560127968</c:v>
                </c:pt>
                <c:pt idx="289">
                  <c:v>91.50382654264115</c:v>
                </c:pt>
                <c:pt idx="290">
                  <c:v>91.502745583519754</c:v>
                </c:pt>
                <c:pt idx="291">
                  <c:v>91.489950081855071</c:v>
                </c:pt>
                <c:pt idx="292">
                  <c:v>91.465025670448327</c:v>
                </c:pt>
                <c:pt idx="293">
                  <c:v>91.427554329839225</c:v>
                </c:pt>
                <c:pt idx="294">
                  <c:v>91.377115566011682</c:v>
                </c:pt>
                <c:pt idx="295">
                  <c:v>91.313287647692889</c:v>
                </c:pt>
                <c:pt idx="296">
                  <c:v>91.235648898510235</c:v>
                </c:pt>
                <c:pt idx="297">
                  <c:v>91.143779038617708</c:v>
                </c:pt>
                <c:pt idx="298">
                  <c:v>91.037260569796246</c:v>
                </c:pt>
                <c:pt idx="299">
                  <c:v>90.915680197457135</c:v>
                </c:pt>
                <c:pt idx="300">
                  <c:v>90.778630282453051</c:v>
                </c:pt>
                <c:pt idx="301">
                  <c:v>90.625710315137297</c:v>
                </c:pt>
                <c:pt idx="302">
                  <c:v>90.456528403705789</c:v>
                </c:pt>
                <c:pt idx="303">
                  <c:v>90.270702768522312</c:v>
                </c:pt>
                <c:pt idx="304">
                  <c:v>90.067863233879947</c:v>
                </c:pt>
                <c:pt idx="305">
                  <c:v>89.847652708468587</c:v>
                </c:pt>
                <c:pt idx="306">
                  <c:v>89.609728645725525</c:v>
                </c:pt>
                <c:pt idx="307">
                  <c:v>89.353764475258345</c:v>
                </c:pt>
                <c:pt idx="308">
                  <c:v>89.079450996582906</c:v>
                </c:pt>
                <c:pt idx="309">
                  <c:v>88.786497726610648</c:v>
                </c:pt>
                <c:pt idx="310">
                  <c:v>88.474634192554745</c:v>
                </c:pt>
                <c:pt idx="311">
                  <c:v>88.143611162259077</c:v>
                </c:pt>
                <c:pt idx="312">
                  <c:v>87.793201804362127</c:v>
                </c:pt>
                <c:pt idx="313">
                  <c:v>87.423202771177301</c:v>
                </c:pt>
                <c:pt idx="314">
                  <c:v>87.03343519772254</c:v>
                </c:pt>
                <c:pt idx="315">
                  <c:v>86.623745610917297</c:v>
                </c:pt>
                <c:pt idx="316">
                  <c:v>86.194006743625891</c:v>
                </c:pt>
                <c:pt idx="317">
                  <c:v>85.74411824889782</c:v>
                </c:pt>
                <c:pt idx="318">
                  <c:v>85.274007310500153</c:v>
                </c:pt>
                <c:pt idx="319">
                  <c:v>84.783629146561879</c:v>
                </c:pt>
                <c:pt idx="320">
                  <c:v>84.272967403916908</c:v>
                </c:pt>
                <c:pt idx="321">
                  <c:v>83.742034441515287</c:v>
                </c:pt>
                <c:pt idx="322">
                  <c:v>83.190871502006075</c:v>
                </c:pt>
                <c:pt idx="323">
                  <c:v>82.619548771384814</c:v>
                </c:pt>
                <c:pt idx="324">
                  <c:v>82.028165327299064</c:v>
                </c:pt>
                <c:pt idx="325">
                  <c:v>81.416848977343591</c:v>
                </c:pt>
                <c:pt idx="326">
                  <c:v>80.785755989322936</c:v>
                </c:pt>
                <c:pt idx="327">
                  <c:v>80.135070716109794</c:v>
                </c:pt>
                <c:pt idx="328">
                  <c:v>79.465005118304845</c:v>
                </c:pt>
                <c:pt idx="329">
                  <c:v>78.775798188435203</c:v>
                </c:pt>
                <c:pt idx="330">
                  <c:v>78.067715280911727</c:v>
                </c:pt>
                <c:pt idx="331">
                  <c:v>77.341047352375838</c:v>
                </c:pt>
                <c:pt idx="332">
                  <c:v>76.596110117426264</c:v>
                </c:pt>
                <c:pt idx="333">
                  <c:v>75.833243125003392</c:v>
                </c:pt>
                <c:pt idx="334">
                  <c:v>75.052808760955344</c:v>
                </c:pt>
                <c:pt idx="335">
                  <c:v>74.255191182450915</c:v>
                </c:pt>
                <c:pt idx="336">
                  <c:v>73.440795190044099</c:v>
                </c:pt>
                <c:pt idx="337">
                  <c:v>72.610045043224062</c:v>
                </c:pt>
                <c:pt idx="338">
                  <c:v>71.763383225304935</c:v>
                </c:pt>
                <c:pt idx="339">
                  <c:v>70.901269163449996</c:v>
                </c:pt>
                <c:pt idx="340">
                  <c:v>70.024177909553245</c:v>
                </c:pt>
                <c:pt idx="341">
                  <c:v>69.132598787567034</c:v>
                </c:pt>
                <c:pt idx="342">
                  <c:v>68.227034012732304</c:v>
                </c:pt>
                <c:pt idx="343">
                  <c:v>67.30799728798884</c:v>
                </c:pt>
                <c:pt idx="344">
                  <c:v>66.376012382665479</c:v>
                </c:pt>
                <c:pt idx="345">
                  <c:v>65.43161169835949</c:v>
                </c:pt>
                <c:pt idx="346">
                  <c:v>64.475334826722147</c:v>
                </c:pt>
                <c:pt idx="347">
                  <c:v>63.50772710369084</c:v>
                </c:pt>
                <c:pt idx="348">
                  <c:v>62.529338164506719</c:v>
                </c:pt>
                <c:pt idx="349">
                  <c:v>61.54072050371844</c:v>
                </c:pt>
                <c:pt idx="350">
                  <c:v>60.542428044204577</c:v>
                </c:pt>
                <c:pt idx="351">
                  <c:v>59.53501471910441</c:v>
                </c:pt>
                <c:pt idx="352">
                  <c:v>58.51903307045027</c:v>
                </c:pt>
                <c:pt idx="353">
                  <c:v>57.495032868169282</c:v>
                </c:pt>
                <c:pt idx="354">
                  <c:v>56.463559753034382</c:v>
                </c:pt>
                <c:pt idx="355">
                  <c:v>55.425153907070644</c:v>
                </c:pt>
                <c:pt idx="356">
                  <c:v>54.380348754842963</c:v>
                </c:pt>
                <c:pt idx="357">
                  <c:v>53.329669698975842</c:v>
                </c:pt>
                <c:pt idx="358">
                  <c:v>52.273632893188278</c:v>
                </c:pt>
                <c:pt idx="359">
                  <c:v>51.212744056038787</c:v>
                </c:pt>
                <c:pt idx="360">
                  <c:v>50.147497328488427</c:v>
                </c:pt>
                <c:pt idx="361">
                  <c:v>49.078374178277748</c:v>
                </c:pt>
                <c:pt idx="362">
                  <c:v>48.005842353985564</c:v>
                </c:pt>
                <c:pt idx="363">
                  <c:v>46.930354891486843</c:v>
                </c:pt>
                <c:pt idx="364">
                  <c:v>45.852349175349396</c:v>
                </c:pt>
                <c:pt idx="365">
                  <c:v>44.772246057507864</c:v>
                </c:pt>
                <c:pt idx="366">
                  <c:v>43.690449035316341</c:v>
                </c:pt>
                <c:pt idx="367">
                  <c:v>42.607343490828441</c:v>
                </c:pt>
                <c:pt idx="368">
                  <c:v>41.523295992864263</c:v>
                </c:pt>
                <c:pt idx="369">
                  <c:v>40.438653663118593</c:v>
                </c:pt>
                <c:pt idx="370">
                  <c:v>39.353743607234442</c:v>
                </c:pt>
                <c:pt idx="371">
                  <c:v>38.268872411417412</c:v>
                </c:pt>
                <c:pt idx="372">
                  <c:v>37.184325704817844</c:v>
                </c:pt>
                <c:pt idx="373">
                  <c:v>36.100367787531518</c:v>
                </c:pt>
                <c:pt idx="374">
                  <c:v>35.017241323710536</c:v>
                </c:pt>
                <c:pt idx="375">
                  <c:v>33.9351670989127</c:v>
                </c:pt>
                <c:pt idx="376">
                  <c:v>32.854343840458135</c:v>
                </c:pt>
                <c:pt idx="377">
                  <c:v>31.774948099222886</c:v>
                </c:pt>
                <c:pt idx="378">
                  <c:v>30.697134190986127</c:v>
                </c:pt>
                <c:pt idx="379">
                  <c:v>29.621034195131845</c:v>
                </c:pt>
                <c:pt idx="380">
                  <c:v>28.546758008248993</c:v>
                </c:pt>
                <c:pt idx="381">
                  <c:v>27.474393449931195</c:v>
                </c:pt>
                <c:pt idx="382">
                  <c:v>26.404006417859161</c:v>
                </c:pt>
                <c:pt idx="383">
                  <c:v>25.335641089089396</c:v>
                </c:pt>
                <c:pt idx="384">
                  <c:v>24.269320164327841</c:v>
                </c:pt>
                <c:pt idx="385">
                  <c:v>23.20504515187325</c:v>
                </c:pt>
                <c:pt idx="386">
                  <c:v>22.142796687851927</c:v>
                </c:pt>
                <c:pt idx="387">
                  <c:v>21.082534889340518</c:v>
                </c:pt>
                <c:pt idx="388">
                  <c:v>20.024199736985068</c:v>
                </c:pt>
                <c:pt idx="389">
                  <c:v>18.967711483773719</c:v>
                </c:pt>
                <c:pt idx="390">
                  <c:v>17.912971086695535</c:v>
                </c:pt>
                <c:pt idx="391">
                  <c:v>16.859860658125278</c:v>
                </c:pt>
                <c:pt idx="392">
                  <c:v>15.808243933920624</c:v>
                </c:pt>
                <c:pt idx="393">
                  <c:v>14.757966755370067</c:v>
                </c:pt>
                <c:pt idx="394">
                  <c:v>13.708857562325207</c:v>
                </c:pt>
                <c:pt idx="395">
                  <c:v>12.660727895057274</c:v>
                </c:pt>
                <c:pt idx="396">
                  <c:v>11.613372902597678</c:v>
                </c:pt>
                <c:pt idx="397">
                  <c:v>10.566571855576706</c:v>
                </c:pt>
                <c:pt idx="398">
                  <c:v>9.5200886618205764</c:v>
                </c:pt>
                <c:pt idx="399">
                  <c:v>8.4736723832401495</c:v>
                </c:pt>
                <c:pt idx="400">
                  <c:v>7.4270577528241173</c:v>
                </c:pt>
                <c:pt idx="401">
                  <c:v>6.3799656908387297</c:v>
                </c:pt>
                <c:pt idx="402">
                  <c:v>5.3321038196243205</c:v>
                </c:pt>
                <c:pt idx="403">
                  <c:v>4.2831669766960649</c:v>
                </c:pt>
                <c:pt idx="404">
                  <c:v>3.2328377261444712</c:v>
                </c:pt>
                <c:pt idx="405">
                  <c:v>2.1807868686670444</c:v>
                </c:pt>
                <c:pt idx="406">
                  <c:v>1.1266739508591541</c:v>
                </c:pt>
                <c:pt idx="407">
                  <c:v>7.0147774735871943E-2</c:v>
                </c:pt>
                <c:pt idx="408">
                  <c:v>-0.98915309123325701</c:v>
                </c:pt>
                <c:pt idx="409">
                  <c:v>-2.051599797948759</c:v>
                </c:pt>
                <c:pt idx="410">
                  <c:v>-3.1175726964059995</c:v>
                </c:pt>
                <c:pt idx="411">
                  <c:v>-4.1874608110174796</c:v>
                </c:pt>
                <c:pt idx="412">
                  <c:v>-5.2616613028800998</c:v>
                </c:pt>
                <c:pt idx="413">
                  <c:v>-6.3405789199842708</c:v>
                </c:pt>
                <c:pt idx="414">
                  <c:v>-7.4246254310050137</c:v>
                </c:pt>
                <c:pt idx="415">
                  <c:v>-8.5142190389492551</c:v>
                </c:pt>
                <c:pt idx="416">
                  <c:v>-9.6097837705787548</c:v>
                </c:pt>
                <c:pt idx="417">
                  <c:v>-10.711748837152822</c:v>
                </c:pt>
                <c:pt idx="418">
                  <c:v>-11.820547961677537</c:v>
                </c:pt>
                <c:pt idx="419">
                  <c:v>-12.936618667484378</c:v>
                </c:pt>
                <c:pt idx="420">
                  <c:v>-14.06040152261429</c:v>
                </c:pt>
                <c:pt idx="421">
                  <c:v>-15.192339334134997</c:v>
                </c:pt>
                <c:pt idx="422">
                  <c:v>-16.332876286204751</c:v>
                </c:pt>
                <c:pt idx="423">
                  <c:v>-17.482457015407128</c:v>
                </c:pt>
                <c:pt idx="424">
                  <c:v>-18.641525616606589</c:v>
                </c:pt>
                <c:pt idx="425">
                  <c:v>-19.810524572385855</c:v>
                </c:pt>
                <c:pt idx="426">
                  <c:v>-20.989893598955135</c:v>
                </c:pt>
                <c:pt idx="427">
                  <c:v>-22.180068401354148</c:v>
                </c:pt>
                <c:pt idx="428">
                  <c:v>-23.38147933078135</c:v>
                </c:pt>
                <c:pt idx="429">
                  <c:v>-24.594549937010974</c:v>
                </c:pt>
                <c:pt idx="430">
                  <c:v>-25.819695409099356</c:v>
                </c:pt>
                <c:pt idx="431">
                  <c:v>-27.057320898011795</c:v>
                </c:pt>
                <c:pt idx="432">
                  <c:v>-28.307819715371966</c:v>
                </c:pt>
                <c:pt idx="433">
                  <c:v>-29.571571403346464</c:v>
                </c:pt>
                <c:pt idx="434">
                  <c:v>-30.848939671693977</c:v>
                </c:pt>
                <c:pt idx="435">
                  <c:v>-32.140270199308787</c:v>
                </c:pt>
                <c:pt idx="436">
                  <c:v>-33.445888299172985</c:v>
                </c:pt>
                <c:pt idx="437">
                  <c:v>-34.766096447518805</c:v>
                </c:pt>
                <c:pt idx="438">
                  <c:v>-36.101171680254758</c:v>
                </c:pt>
                <c:pt idx="439">
                  <c:v>-37.451362862289308</c:v>
                </c:pt>
                <c:pt idx="440">
                  <c:v>-38.816887838356621</c:v>
                </c:pt>
                <c:pt idx="441">
                  <c:v>-40.197930477279698</c:v>
                </c:pt>
                <c:pt idx="442">
                  <c:v>-41.594637625289984</c:v>
                </c:pt>
                <c:pt idx="443">
                  <c:v>-43.007115988059773</c:v>
                </c:pt>
                <c:pt idx="444">
                  <c:v>-44.435428965427512</c:v>
                </c:pt>
                <c:pt idx="445">
                  <c:v>-45.879593467345011</c:v>
                </c:pt>
                <c:pt idx="446">
                  <c:v>-47.339576744302825</c:v>
                </c:pt>
                <c:pt idx="447">
                  <c:v>-48.8152932702436</c:v>
                </c:pt>
                <c:pt idx="448">
                  <c:v>-50.306601720658279</c:v>
                </c:pt>
                <c:pt idx="449">
                  <c:v>-51.813302093007238</c:v>
                </c:pt>
                <c:pt idx="450">
                  <c:v>-53.335133020647042</c:v>
                </c:pt>
                <c:pt idx="451">
                  <c:v>-54.871769334870841</c:v>
                </c:pt>
                <c:pt idx="452">
                  <c:v>-56.42281993228908</c:v>
                </c:pt>
                <c:pt idx="453">
                  <c:v>-57.987826006364301</c:v>
                </c:pt>
                <c:pt idx="454">
                  <c:v>-59.566259702228741</c:v>
                </c:pt>
                <c:pt idx="455">
                  <c:v>-61.157523252821719</c:v>
                </c:pt>
                <c:pt idx="456">
                  <c:v>-62.760948651605425</c:v>
                </c:pt>
                <c:pt idx="457">
                  <c:v>-64.375797912636045</c:v>
                </c:pt>
                <c:pt idx="458">
                  <c:v>-66.001263962375447</c:v>
                </c:pt>
                <c:pt idx="459">
                  <c:v>-67.636472199409639</c:v>
                </c:pt>
                <c:pt idx="460">
                  <c:v>-69.280482748182521</c:v>
                </c:pt>
                <c:pt idx="461">
                  <c:v>-70.932293421146809</c:v>
                </c:pt>
                <c:pt idx="462">
                  <c:v>-72.590843390581767</c:v>
                </c:pt>
                <c:pt idx="463">
                  <c:v>-74.255017557070133</c:v>
                </c:pt>
                <c:pt idx="464">
                  <c:v>-75.923651586664278</c:v>
                </c:pt>
                <c:pt idx="465">
                  <c:v>-77.595537573572216</c:v>
                </c:pt>
                <c:pt idx="466">
                  <c:v>-79.269430270301925</c:v>
                </c:pt>
                <c:pt idx="467">
                  <c:v>-80.94405381311914</c:v>
                </c:pt>
                <c:pt idx="468">
                  <c:v>-82.618108858011908</c:v>
                </c:pt>
                <c:pt idx="469">
                  <c:v>-84.290280031565871</c:v>
                </c:pt>
                <c:pt idx="470">
                  <c:v>-85.95924359272351</c:v>
                </c:pt>
                <c:pt idx="471">
                  <c:v>-87.62367519568717</c:v>
                </c:pt>
                <c:pt idx="472">
                  <c:v>-89.282257641454564</c:v>
                </c:pt>
                <c:pt idx="473">
                  <c:v>-90.933688505816377</c:v>
                </c:pt>
                <c:pt idx="474">
                  <c:v>-92.576687535022074</c:v>
                </c:pt>
                <c:pt idx="475">
                  <c:v>-94.210003706634652</c:v>
                </c:pt>
                <c:pt idx="476">
                  <c:v>-95.832421862059803</c:v>
                </c:pt>
                <c:pt idx="477">
                  <c:v>-97.442768828442212</c:v>
                </c:pt>
                <c:pt idx="478">
                  <c:v>-99.039918960647043</c:v>
                </c:pt>
                <c:pt idx="479">
                  <c:v>-100.62279904833463</c:v>
                </c:pt>
                <c:pt idx="480">
                  <c:v>-102.19039254815173</c:v>
                </c:pt>
                <c:pt idx="481">
                  <c:v>-103.74174311626439</c:v>
                </c:pt>
                <c:pt idx="482">
                  <c:v>-105.2759574313181</c:v>
                </c:pt>
                <c:pt idx="483">
                  <c:v>-106.79220731198541</c:v>
                </c:pt>
                <c:pt idx="484">
                  <c:v>-108.28973114614197</c:v>
                </c:pt>
                <c:pt idx="485">
                  <c:v>-109.76783466011274</c:v>
                </c:pt>
                <c:pt idx="486">
                  <c:v>-111.22589106612554</c:v>
                </c:pt>
                <c:pt idx="487">
                  <c:v>-112.66334063396992</c:v>
                </c:pt>
                <c:pt idx="488">
                  <c:v>-114.07968973884556</c:v>
                </c:pt>
                <c:pt idx="489">
                  <c:v>-115.47450944155634</c:v>
                </c:pt>
                <c:pt idx="490">
                  <c:v>-116.84743365958833</c:v>
                </c:pt>
                <c:pt idx="491">
                  <c:v>-118.19815698845272</c:v>
                </c:pt>
                <c:pt idx="492">
                  <c:v>-119.52643223206725</c:v>
                </c:pt>
                <c:pt idx="493">
                  <c:v>-120.83206769915016</c:v>
                </c:pt>
                <c:pt idx="494">
                  <c:v>-122.11492431981866</c:v>
                </c:pt>
                <c:pt idx="495">
                  <c:v>-123.37491263302307</c:v>
                </c:pt>
                <c:pt idx="496">
                  <c:v>-124.61198969132229</c:v>
                </c:pt>
                <c:pt idx="497">
                  <c:v>-125.82615592501641</c:v>
                </c:pt>
                <c:pt idx="498">
                  <c:v>-127.01745200295167</c:v>
                </c:pt>
                <c:pt idx="499">
                  <c:v>-128.1859557225703</c:v>
                </c:pt>
                <c:pt idx="500">
                  <c:v>-129.33177895710395</c:v>
                </c:pt>
                <c:pt idx="501">
                  <c:v>-130.4550646833043</c:v>
                </c:pt>
                <c:pt idx="502">
                  <c:v>-131.55598410885833</c:v>
                </c:pt>
                <c:pt idx="503">
                  <c:v>-132.63473391468702</c:v>
                </c:pt>
                <c:pt idx="504">
                  <c:v>-133.69153362372467</c:v>
                </c:pt>
                <c:pt idx="505">
                  <c:v>-134.72662310453575</c:v>
                </c:pt>
                <c:pt idx="506">
                  <c:v>-135.74026021525927</c:v>
                </c:pt>
                <c:pt idx="507">
                  <c:v>-136.7327185908627</c:v>
                </c:pt>
                <c:pt idx="508">
                  <c:v>-137.70428557453866</c:v>
                </c:pt>
                <c:pt idx="509">
                  <c:v>-138.65526029226578</c:v>
                </c:pt>
                <c:pt idx="510">
                  <c:v>-139.58595186803473</c:v>
                </c:pt>
                <c:pt idx="511">
                  <c:v>-140.49667777603449</c:v>
                </c:pt>
                <c:pt idx="512">
                  <c:v>-141.38776232511248</c:v>
                </c:pt>
                <c:pt idx="513">
                  <c:v>-142.2595352700861</c:v>
                </c:pt>
                <c:pt idx="514">
                  <c:v>-143.11233054394242</c:v>
                </c:pt>
                <c:pt idx="515">
                  <c:v>-143.94648510458958</c:v>
                </c:pt>
                <c:pt idx="516">
                  <c:v>-144.76233788960789</c:v>
                </c:pt>
                <c:pt idx="517">
                  <c:v>-145.56022887233996</c:v>
                </c:pt>
                <c:pt idx="518">
                  <c:v>-146.3404982126761</c:v>
                </c:pt>
                <c:pt idx="519">
                  <c:v>-147.10348549596998</c:v>
                </c:pt>
                <c:pt idx="520">
                  <c:v>-147.84952905367982</c:v>
                </c:pt>
                <c:pt idx="521">
                  <c:v>-148.57896535954055</c:v>
                </c:pt>
                <c:pt idx="522">
                  <c:v>-149.29212849531152</c:v>
                </c:pt>
                <c:pt idx="523">
                  <c:v>-149.98934968043019</c:v>
                </c:pt>
                <c:pt idx="524">
                  <c:v>-150.67095686019445</c:v>
                </c:pt>
                <c:pt idx="525">
                  <c:v>-151.33727434739359</c:v>
                </c:pt>
                <c:pt idx="526">
                  <c:v>-151.9886225126383</c:v>
                </c:pt>
                <c:pt idx="527">
                  <c:v>-152.62531751893073</c:v>
                </c:pt>
                <c:pt idx="528">
                  <c:v>-153.24767109633979</c:v>
                </c:pt>
                <c:pt idx="529">
                  <c:v>-153.85599035293848</c:v>
                </c:pt>
                <c:pt idx="530">
                  <c:v>-154.45057761844205</c:v>
                </c:pt>
                <c:pt idx="531">
                  <c:v>-155.0317303172838</c:v>
                </c:pt>
                <c:pt idx="532">
                  <c:v>-155.5997408681034</c:v>
                </c:pt>
                <c:pt idx="533">
                  <c:v>-156.15489660689516</c:v>
                </c:pt>
                <c:pt idx="534">
                  <c:v>-156.69747973128014</c:v>
                </c:pt>
                <c:pt idx="535">
                  <c:v>-157.2277672636003</c:v>
                </c:pt>
                <c:pt idx="536">
                  <c:v>-157.74603103072801</c:v>
                </c:pt>
                <c:pt idx="537">
                  <c:v>-158.25253765868385</c:v>
                </c:pt>
                <c:pt idx="538">
                  <c:v>-158.74754858032279</c:v>
                </c:pt>
                <c:pt idx="539">
                  <c:v>-159.23132005452288</c:v>
                </c:pt>
                <c:pt idx="540">
                  <c:v>-159.704103195453</c:v>
                </c:pt>
                <c:pt idx="541">
                  <c:v>-160.16614401063651</c:v>
                </c:pt>
              </c:numCache>
            </c:numRef>
          </c:yVal>
          <c:smooth val="1"/>
          <c:extLst>
            <c:ext xmlns:c16="http://schemas.microsoft.com/office/drawing/2014/chart" uri="{C3380CC4-5D6E-409C-BE32-E72D297353CC}">
              <c16:uniqueId val="{00000001-8173-45EB-83AD-B179A66292B6}"/>
            </c:ext>
          </c:extLst>
        </c:ser>
        <c:dLbls>
          <c:showLegendKey val="0"/>
          <c:showVal val="0"/>
          <c:showCatName val="0"/>
          <c:showSerName val="0"/>
          <c:showPercent val="0"/>
          <c:showBubbleSize val="0"/>
        </c:dLbls>
        <c:axId val="555537920"/>
        <c:axId val="555536384"/>
      </c:scatterChart>
      <c:valAx>
        <c:axId val="55552819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530112"/>
        <c:crosses val="autoZero"/>
        <c:crossBetween val="midCat"/>
      </c:valAx>
      <c:valAx>
        <c:axId val="55553011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528192"/>
        <c:crosses val="autoZero"/>
        <c:crossBetween val="midCat"/>
        <c:majorUnit val="20"/>
        <c:minorUnit val="10"/>
      </c:valAx>
      <c:valAx>
        <c:axId val="55553638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537920"/>
        <c:crosses val="max"/>
        <c:crossBetween val="midCat"/>
        <c:majorUnit val="90"/>
        <c:minorUnit val="45"/>
      </c:valAx>
      <c:valAx>
        <c:axId val="555537920"/>
        <c:scaling>
          <c:logBase val="10"/>
          <c:orientation val="minMax"/>
        </c:scaling>
        <c:delete val="1"/>
        <c:axPos val="b"/>
        <c:numFmt formatCode="0.00" sourceLinked="1"/>
        <c:majorTickMark val="out"/>
        <c:minorTickMark val="none"/>
        <c:tickLblPos val="nextTo"/>
        <c:crossAx val="555536384"/>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39.514690925509072</c:v>
                </c:pt>
                <c:pt idx="2">
                  <c:v>56.117775039292951</c:v>
                </c:pt>
                <c:pt idx="3">
                  <c:v>65.252581517022051</c:v>
                </c:pt>
                <c:pt idx="4">
                  <c:v>71.029504898022296</c:v>
                </c:pt>
                <c:pt idx="5">
                  <c:v>75.010165474990188</c:v>
                </c:pt>
                <c:pt idx="6">
                  <c:v>77.917817299594972</c:v>
                </c:pt>
                <c:pt idx="7">
                  <c:v>80.133377180741704</c:v>
                </c:pt>
                <c:pt idx="8">
                  <c:v>81.876540579915059</c:v>
                </c:pt>
                <c:pt idx="9">
                  <c:v>83.282915265419859</c:v>
                </c:pt>
                <c:pt idx="10">
                  <c:v>84.440738332544981</c:v>
                </c:pt>
                <c:pt idx="11">
                  <c:v>85.409899380681026</c:v>
                </c:pt>
                <c:pt idx="12">
                  <c:v>86.232478005946703</c:v>
                </c:pt>
                <c:pt idx="13">
                  <c:v>86.938906100073297</c:v>
                </c:pt>
                <c:pt idx="14">
                  <c:v>87.551737144091788</c:v>
                </c:pt>
                <c:pt idx="15">
                  <c:v>88.088040748716423</c:v>
                </c:pt>
                <c:pt idx="16">
                  <c:v>88.560973893791413</c:v>
                </c:pt>
                <c:pt idx="17">
                  <c:v>88.980841217120513</c:v>
                </c:pt>
                <c:pt idx="18">
                  <c:v>89.355828235000729</c:v>
                </c:pt>
                <c:pt idx="19">
                  <c:v>89.69251944511673</c:v>
                </c:pt>
                <c:pt idx="20">
                  <c:v>89.996271510808356</c:v>
                </c:pt>
                <c:pt idx="21">
                  <c:v>90.271486711353461</c:v>
                </c:pt>
                <c:pt idx="22">
                  <c:v>90.521816428615992</c:v>
                </c:pt>
                <c:pt idx="23">
                  <c:v>90.750314699910533</c:v>
                </c:pt>
                <c:pt idx="24">
                  <c:v>90.95955557090582</c:v>
                </c:pt>
                <c:pt idx="25">
                  <c:v>91.15172382861536</c:v>
                </c:pt>
                <c:pt idx="26">
                  <c:v>91.328685902602786</c:v>
                </c:pt>
                <c:pt idx="27">
                  <c:v>91.492045813793894</c:v>
                </c:pt>
                <c:pt idx="28">
                  <c:v>91.643189724850757</c:v>
                </c:pt>
                <c:pt idx="29">
                  <c:v>91.783321712371318</c:v>
                </c:pt>
                <c:pt idx="30">
                  <c:v>91.913492714673012</c:v>
                </c:pt>
                <c:pt idx="31">
                  <c:v>92.034624127263967</c:v>
                </c:pt>
                <c:pt idx="32">
                  <c:v>92.147527166041428</c:v>
                </c:pt>
                <c:pt idx="33">
                  <c:v>92.252918858165771</c:v>
                </c:pt>
                <c:pt idx="34">
                  <c:v>92.351435326499313</c:v>
                </c:pt>
                <c:pt idx="35">
                  <c:v>92.443642887352794</c:v>
                </c:pt>
                <c:pt idx="36">
                  <c:v>92.5300473702587</c:v>
                </c:pt>
                <c:pt idx="37">
                  <c:v>92.611101983453224</c:v>
                </c:pt>
                <c:pt idx="38">
                  <c:v>92.68721398311061</c:v>
                </c:pt>
                <c:pt idx="39">
                  <c:v>92.758750353340744</c:v>
                </c:pt>
                <c:pt idx="40">
                  <c:v>92.826042664006891</c:v>
                </c:pt>
                <c:pt idx="41">
                  <c:v>92.889391241938839</c:v>
                </c:pt>
                <c:pt idx="42">
                  <c:v>92.949068766154539</c:v>
                </c:pt>
                <c:pt idx="43">
                  <c:v>93.005323377795861</c:v>
                </c:pt>
                <c:pt idx="44">
                  <c:v>93.058381379518949</c:v>
                </c:pt>
                <c:pt idx="45">
                  <c:v>93.108449586206973</c:v>
                </c:pt>
                <c:pt idx="46">
                  <c:v>93.155717378442745</c:v>
                </c:pt>
                <c:pt idx="47">
                  <c:v>93.200358501685457</c:v>
                </c:pt>
                <c:pt idx="48">
                  <c:v>93.242532647148224</c:v>
                </c:pt>
                <c:pt idx="49">
                  <c:v>93.282386844665467</c:v>
                </c:pt>
                <c:pt idx="50">
                  <c:v>93.320056693129089</c:v>
                </c:pt>
                <c:pt idx="51">
                  <c:v>93.355667450171552</c:v>
                </c:pt>
                <c:pt idx="52">
                  <c:v>93.389334999528913</c:v>
                </c:pt>
                <c:pt idx="53">
                  <c:v>93.421166711808866</c:v>
                </c:pt>
                <c:pt idx="54">
                  <c:v>93.451262212120184</c:v>
                </c:pt>
                <c:pt idx="55">
                  <c:v>93.47971406611299</c:v>
                </c:pt>
                <c:pt idx="56">
                  <c:v>93.506608394370872</c:v>
                </c:pt>
                <c:pt idx="57">
                  <c:v>93.532025423735206</c:v>
                </c:pt>
                <c:pt idx="58">
                  <c:v>93.556039982987926</c:v>
                </c:pt>
                <c:pt idx="59">
                  <c:v>93.578721949335502</c:v>
                </c:pt>
                <c:pt idx="60">
                  <c:v>93.600136651298669</c:v>
                </c:pt>
                <c:pt idx="61">
                  <c:v>93.62034523289428</c:v>
                </c:pt>
                <c:pt idx="62">
                  <c:v>93.639404983379521</c:v>
                </c:pt>
                <c:pt idx="63">
                  <c:v>93.657369636298895</c:v>
                </c:pt>
                <c:pt idx="64">
                  <c:v>93.674289641116843</c:v>
                </c:pt>
                <c:pt idx="65">
                  <c:v>93.690212410324236</c:v>
                </c:pt>
                <c:pt idx="66">
                  <c:v>93.705182544563613</c:v>
                </c:pt>
                <c:pt idx="67">
                  <c:v>93.719242038021321</c:v>
                </c:pt>
                <c:pt idx="68">
                  <c:v>93.732430466075414</c:v>
                </c:pt>
                <c:pt idx="69">
                  <c:v>93.74478515696228</c:v>
                </c:pt>
                <c:pt idx="70">
                  <c:v>93.756341349027821</c:v>
                </c:pt>
                <c:pt idx="71">
                  <c:v>93.767132334955988</c:v>
                </c:pt>
                <c:pt idx="72">
                  <c:v>93.7771895942154</c:v>
                </c:pt>
                <c:pt idx="73">
                  <c:v>93.786542914832296</c:v>
                </c:pt>
                <c:pt idx="74">
                  <c:v>93.795220505479861</c:v>
                </c:pt>
                <c:pt idx="75">
                  <c:v>93.803249098770394</c:v>
                </c:pt>
                <c:pt idx="76">
                  <c:v>93.810654046545778</c:v>
                </c:pt>
                <c:pt idx="77">
                  <c:v>93.81745940787988</c:v>
                </c:pt>
                <c:pt idx="78">
                  <c:v>93.823688030435221</c:v>
                </c:pt>
                <c:pt idx="79">
                  <c:v>93.829361625752114</c:v>
                </c:pt>
                <c:pt idx="80">
                  <c:v>93.834500838991602</c:v>
                </c:pt>
                <c:pt idx="81">
                  <c:v>93.839125313603219</c:v>
                </c:pt>
                <c:pt idx="82">
                  <c:v>93.843253751343198</c:v>
                </c:pt>
                <c:pt idx="83">
                  <c:v>93.846903968028599</c:v>
                </c:pt>
                <c:pt idx="84">
                  <c:v>93.850092945376517</c:v>
                </c:pt>
                <c:pt idx="85">
                  <c:v>93.852836879245544</c:v>
                </c:pt>
                <c:pt idx="86">
                  <c:v>93.855151224567408</c:v>
                </c:pt>
                <c:pt idx="87">
                  <c:v>93.857050737230523</c:v>
                </c:pt>
                <c:pt idx="88">
                  <c:v>93.858549513154372</c:v>
                </c:pt>
                <c:pt idx="89">
                  <c:v>93.859661024771839</c:v>
                </c:pt>
                <c:pt idx="90">
                  <c:v>93.860398155117906</c:v>
                </c:pt>
                <c:pt idx="91">
                  <c:v>93.860773229706098</c:v>
                </c:pt>
                <c:pt idx="92">
                  <c:v>93.860798046358227</c:v>
                </c:pt>
                <c:pt idx="93">
                  <c:v>93.860483903139311</c:v>
                </c:pt>
                <c:pt idx="94">
                  <c:v>93.859841624536372</c:v>
                </c:pt>
                <c:pt idx="95">
                  <c:v>93.85888158600882</c:v>
                </c:pt>
                <c:pt idx="96">
                  <c:v>93.857613737027222</c:v>
                </c:pt>
                <c:pt idx="97">
                  <c:v>93.85604762270799</c:v>
                </c:pt>
                <c:pt idx="98">
                  <c:v>93.854192404142907</c:v>
                </c:pt>
                <c:pt idx="99">
                  <c:v>93.852056877514173</c:v>
                </c:pt>
                <c:pt idx="100">
                  <c:v>93.849649492079152</c:v>
                </c:pt>
                <c:pt idx="101">
                  <c:v>93.846978367101769</c:v>
                </c:pt>
                <c:pt idx="102">
                  <c:v>93.844051307801763</c:v>
                </c:pt>
                <c:pt idx="103">
                  <c:v>93.840875820388078</c:v>
                </c:pt>
                <c:pt idx="104">
                  <c:v>93.837459126236567</c:v>
                </c:pt>
                <c:pt idx="105">
                  <c:v>93.833808175268757</c:v>
                </c:pt>
                <c:pt idx="106">
                  <c:v>93.829929658583495</c:v>
                </c:pt>
                <c:pt idx="107">
                  <c:v>93.825830020389745</c:v>
                </c:pt>
                <c:pt idx="108">
                  <c:v>93.821515469285274</c:v>
                </c:pt>
                <c:pt idx="109">
                  <c:v>93.816991988922638</c:v>
                </c:pt>
                <c:pt idx="110">
                  <c:v>93.812265348100908</c:v>
                </c:pt>
                <c:pt idx="111">
                  <c:v>93.807341110319015</c:v>
                </c:pt>
                <c:pt idx="112">
                  <c:v>93.802224642823802</c:v>
                </c:pt>
                <c:pt idx="113">
                  <c:v>93.796921125183758</c:v>
                </c:pt>
                <c:pt idx="114">
                  <c:v>93.791435557417117</c:v>
                </c:pt>
                <c:pt idx="115">
                  <c:v>93.785772767701317</c:v>
                </c:pt>
                <c:pt idx="116">
                  <c:v>93.779937419688409</c:v>
                </c:pt>
                <c:pt idx="117">
                  <c:v>93.773934019450095</c:v>
                </c:pt>
                <c:pt idx="118">
                  <c:v>93.767766922073776</c:v>
                </c:pt>
                <c:pt idx="119">
                  <c:v>93.761440337930196</c:v>
                </c:pt>
                <c:pt idx="120">
                  <c:v>93.754958338631269</c:v>
                </c:pt>
                <c:pt idx="121">
                  <c:v>93.748324862696037</c:v>
                </c:pt>
                <c:pt idx="122">
                  <c:v>93.741543720941351</c:v>
                </c:pt>
                <c:pt idx="123">
                  <c:v>93.734618601612482</c:v>
                </c:pt>
                <c:pt idx="124">
                  <c:v>93.727553075268574</c:v>
                </c:pt>
                <c:pt idx="125">
                  <c:v>93.720350599436017</c:v>
                </c:pt>
                <c:pt idx="126">
                  <c:v>93.713014523042943</c:v>
                </c:pt>
                <c:pt idx="127">
                  <c:v>93.705548090646531</c:v>
                </c:pt>
                <c:pt idx="128">
                  <c:v>93.697954446464365</c:v>
                </c:pt>
                <c:pt idx="129">
                  <c:v>93.690236638220441</c:v>
                </c:pt>
                <c:pt idx="130">
                  <c:v>93.682397620815422</c:v>
                </c:pt>
                <c:pt idx="131">
                  <c:v>93.674440259830959</c:v>
                </c:pt>
                <c:pt idx="132">
                  <c:v>93.666367334876185</c:v>
                </c:pt>
                <c:pt idx="133">
                  <c:v>93.658181542784916</c:v>
                </c:pt>
                <c:pt idx="134">
                  <c:v>93.649885500671317</c:v>
                </c:pt>
                <c:pt idx="135">
                  <c:v>93.641481748851177</c:v>
                </c:pt>
                <c:pt idx="136">
                  <c:v>93.632972753635599</c:v>
                </c:pt>
                <c:pt idx="137">
                  <c:v>93.624360910003716</c:v>
                </c:pt>
                <c:pt idx="138">
                  <c:v>93.615648544160294</c:v>
                </c:pt>
                <c:pt idx="139">
                  <c:v>93.606837915984158</c:v>
                </c:pt>
                <c:pt idx="140">
                  <c:v>93.597931221372789</c:v>
                </c:pt>
                <c:pt idx="141">
                  <c:v>93.588930594488104</c:v>
                </c:pt>
                <c:pt idx="142">
                  <c:v>93.579838109908295</c:v>
                </c:pt>
                <c:pt idx="143">
                  <c:v>93.570655784690302</c:v>
                </c:pt>
                <c:pt idx="144">
                  <c:v>93.561385580347306</c:v>
                </c:pt>
                <c:pt idx="145">
                  <c:v>93.552029404745028</c:v>
                </c:pt>
                <c:pt idx="146">
                  <c:v>93.542589113920982</c:v>
                </c:pt>
                <c:pt idx="147">
                  <c:v>93.533066513830192</c:v>
                </c:pt>
                <c:pt idx="148">
                  <c:v>93.523463362020792</c:v>
                </c:pt>
                <c:pt idx="149">
                  <c:v>93.513781369242793</c:v>
                </c:pt>
                <c:pt idx="150">
                  <c:v>93.504022200993148</c:v>
                </c:pt>
              </c:numCache>
            </c:numRef>
          </c:yVal>
          <c:smooth val="0"/>
          <c:extLst>
            <c:ext xmlns:c16="http://schemas.microsoft.com/office/drawing/2014/chart" uri="{C3380CC4-5D6E-409C-BE32-E72D297353CC}">
              <c16:uniqueId val="{00000000-50A0-4BAE-A18F-D1A285C4A90E}"/>
            </c:ext>
          </c:extLst>
        </c:ser>
        <c:dLbls>
          <c:showLegendKey val="0"/>
          <c:showVal val="0"/>
          <c:showCatName val="0"/>
          <c:showSerName val="0"/>
          <c:showPercent val="0"/>
          <c:showBubbleSize val="0"/>
        </c:dLbls>
        <c:axId val="555642880"/>
        <c:axId val="555644416"/>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7.6735044044431697E-2</c:v>
                </c:pt>
                <c:pt idx="2">
                  <c:v>0.14472419020394739</c:v>
                </c:pt>
                <c:pt idx="3">
                  <c:v>0.21295386528908289</c:v>
                </c:pt>
                <c:pt idx="4">
                  <c:v>0.28142406929983826</c:v>
                </c:pt>
                <c:pt idx="5">
                  <c:v>0.3501348022362134</c:v>
                </c:pt>
                <c:pt idx="6">
                  <c:v>0.41908606409820842</c:v>
                </c:pt>
                <c:pt idx="7">
                  <c:v>0.48827785488582348</c:v>
                </c:pt>
                <c:pt idx="8">
                  <c:v>0.55771017459905803</c:v>
                </c:pt>
                <c:pt idx="9">
                  <c:v>0.62738302323791251</c:v>
                </c:pt>
                <c:pt idx="10">
                  <c:v>0.69729640080238686</c:v>
                </c:pt>
                <c:pt idx="11">
                  <c:v>0.7674503072924812</c:v>
                </c:pt>
                <c:pt idx="12">
                  <c:v>0.83784474270819509</c:v>
                </c:pt>
                <c:pt idx="13">
                  <c:v>0.90847970704952918</c:v>
                </c:pt>
                <c:pt idx="14">
                  <c:v>0.97935520031648293</c:v>
                </c:pt>
                <c:pt idx="15">
                  <c:v>1.0504712225090562</c:v>
                </c:pt>
                <c:pt idx="16">
                  <c:v>1.1218277736272497</c:v>
                </c:pt>
                <c:pt idx="17">
                  <c:v>1.193424853671063</c:v>
                </c:pt>
                <c:pt idx="18">
                  <c:v>1.2652624626404958</c:v>
                </c:pt>
                <c:pt idx="19">
                  <c:v>1.337340600535549</c:v>
                </c:pt>
                <c:pt idx="20">
                  <c:v>1.4096592673562214</c:v>
                </c:pt>
                <c:pt idx="21">
                  <c:v>1.4822184631025137</c:v>
                </c:pt>
                <c:pt idx="22">
                  <c:v>1.5550181877744265</c:v>
                </c:pt>
                <c:pt idx="23">
                  <c:v>1.6280584413719588</c:v>
                </c:pt>
                <c:pt idx="24">
                  <c:v>1.7013392238951106</c:v>
                </c:pt>
                <c:pt idx="25">
                  <c:v>1.7748605353438824</c:v>
                </c:pt>
                <c:pt idx="26">
                  <c:v>1.8486223757182745</c:v>
                </c:pt>
                <c:pt idx="27">
                  <c:v>1.9226247450182858</c:v>
                </c:pt>
                <c:pt idx="28">
                  <c:v>1.9968676432439179</c:v>
                </c:pt>
                <c:pt idx="29">
                  <c:v>2.0713510703951683</c:v>
                </c:pt>
                <c:pt idx="30">
                  <c:v>2.1460750264720394</c:v>
                </c:pt>
                <c:pt idx="31">
                  <c:v>2.2210395114745305</c:v>
                </c:pt>
                <c:pt idx="32">
                  <c:v>2.2962445254026411</c:v>
                </c:pt>
                <c:pt idx="33">
                  <c:v>2.3716900682563713</c:v>
                </c:pt>
                <c:pt idx="34">
                  <c:v>2.4473761400357223</c:v>
                </c:pt>
                <c:pt idx="35">
                  <c:v>2.5233027407406925</c:v>
                </c:pt>
                <c:pt idx="36">
                  <c:v>2.5994698703712822</c:v>
                </c:pt>
                <c:pt idx="37">
                  <c:v>2.6758775289274919</c:v>
                </c:pt>
                <c:pt idx="38">
                  <c:v>2.7525257164093224</c:v>
                </c:pt>
                <c:pt idx="39">
                  <c:v>2.8294144328167716</c:v>
                </c:pt>
                <c:pt idx="40">
                  <c:v>2.9065436781498408</c:v>
                </c:pt>
                <c:pt idx="41">
                  <c:v>2.9839134524085309</c:v>
                </c:pt>
                <c:pt idx="42">
                  <c:v>3.0615237555928387</c:v>
                </c:pt>
                <c:pt idx="43">
                  <c:v>3.1393745877027683</c:v>
                </c:pt>
                <c:pt idx="44">
                  <c:v>3.217465948738317</c:v>
                </c:pt>
                <c:pt idx="45">
                  <c:v>3.2957978386994853</c:v>
                </c:pt>
                <c:pt idx="46">
                  <c:v>3.374370257586274</c:v>
                </c:pt>
                <c:pt idx="47">
                  <c:v>3.4531832053986822</c:v>
                </c:pt>
                <c:pt idx="48">
                  <c:v>3.5322366821367099</c:v>
                </c:pt>
                <c:pt idx="49">
                  <c:v>3.6115306878003577</c:v>
                </c:pt>
                <c:pt idx="50">
                  <c:v>3.6910652223896254</c:v>
                </c:pt>
                <c:pt idx="51">
                  <c:v>3.770840285904514</c:v>
                </c:pt>
                <c:pt idx="52">
                  <c:v>3.8508558783450217</c:v>
                </c:pt>
                <c:pt idx="53">
                  <c:v>3.9311119997111481</c:v>
                </c:pt>
                <c:pt idx="54">
                  <c:v>4.0116086500028958</c:v>
                </c:pt>
                <c:pt idx="55">
                  <c:v>4.0923458292202621</c:v>
                </c:pt>
                <c:pt idx="56">
                  <c:v>4.1733235373632498</c:v>
                </c:pt>
                <c:pt idx="57">
                  <c:v>4.2545417744318561</c:v>
                </c:pt>
                <c:pt idx="58">
                  <c:v>4.336000540426082</c:v>
                </c:pt>
                <c:pt idx="59">
                  <c:v>4.4176998353459282</c:v>
                </c:pt>
                <c:pt idx="60">
                  <c:v>4.499639659191395</c:v>
                </c:pt>
                <c:pt idx="61">
                  <c:v>4.5818200119624795</c:v>
                </c:pt>
                <c:pt idx="62">
                  <c:v>4.6642408936591861</c:v>
                </c:pt>
                <c:pt idx="63">
                  <c:v>4.7469023042815124</c:v>
                </c:pt>
                <c:pt idx="64">
                  <c:v>4.8298042438294573</c:v>
                </c:pt>
                <c:pt idx="65">
                  <c:v>4.9129467123030217</c:v>
                </c:pt>
                <c:pt idx="66">
                  <c:v>4.9963297097022075</c:v>
                </c:pt>
                <c:pt idx="67">
                  <c:v>5.0799532360270119</c:v>
                </c:pt>
                <c:pt idx="68">
                  <c:v>5.1638172912774376</c:v>
                </c:pt>
                <c:pt idx="69">
                  <c:v>5.247921875453482</c:v>
                </c:pt>
                <c:pt idx="70">
                  <c:v>5.3322669885551468</c:v>
                </c:pt>
                <c:pt idx="71">
                  <c:v>5.4168526305824303</c:v>
                </c:pt>
                <c:pt idx="72">
                  <c:v>5.5016788015353342</c:v>
                </c:pt>
                <c:pt idx="73">
                  <c:v>5.5867455014138576</c:v>
                </c:pt>
                <c:pt idx="74">
                  <c:v>5.6720527302180015</c:v>
                </c:pt>
                <c:pt idx="75">
                  <c:v>5.7576004879477658</c:v>
                </c:pt>
                <c:pt idx="76">
                  <c:v>5.8433887746031505</c:v>
                </c:pt>
                <c:pt idx="77">
                  <c:v>5.929417590184153</c:v>
                </c:pt>
                <c:pt idx="78">
                  <c:v>6.015686934690776</c:v>
                </c:pt>
                <c:pt idx="79">
                  <c:v>6.1021968081230185</c:v>
                </c:pt>
                <c:pt idx="80">
                  <c:v>6.1889472104808814</c:v>
                </c:pt>
                <c:pt idx="81">
                  <c:v>6.2759381417643638</c:v>
                </c:pt>
                <c:pt idx="82">
                  <c:v>6.3631696019734676</c:v>
                </c:pt>
                <c:pt idx="83">
                  <c:v>6.4506415911081891</c:v>
                </c:pt>
                <c:pt idx="84">
                  <c:v>6.5383541091685293</c:v>
                </c:pt>
                <c:pt idx="85">
                  <c:v>6.6263071561544926</c:v>
                </c:pt>
                <c:pt idx="86">
                  <c:v>6.7145007320660746</c:v>
                </c:pt>
                <c:pt idx="87">
                  <c:v>6.8029348369032761</c:v>
                </c:pt>
                <c:pt idx="88">
                  <c:v>6.8916094706660989</c:v>
                </c:pt>
                <c:pt idx="89">
                  <c:v>6.9805246333545394</c:v>
                </c:pt>
                <c:pt idx="90">
                  <c:v>7.0696803249685995</c:v>
                </c:pt>
                <c:pt idx="91">
                  <c:v>7.159076545508281</c:v>
                </c:pt>
                <c:pt idx="92">
                  <c:v>7.2487132949735829</c:v>
                </c:pt>
                <c:pt idx="93">
                  <c:v>7.3385905733645025</c:v>
                </c:pt>
                <c:pt idx="94">
                  <c:v>7.4287083806810434</c:v>
                </c:pt>
                <c:pt idx="95">
                  <c:v>7.5190667169232048</c:v>
                </c:pt>
                <c:pt idx="96">
                  <c:v>7.6096655820909831</c:v>
                </c:pt>
                <c:pt idx="97">
                  <c:v>7.7005049761843836</c:v>
                </c:pt>
                <c:pt idx="98">
                  <c:v>7.7915848992034027</c:v>
                </c:pt>
                <c:pt idx="99">
                  <c:v>7.8829053511480423</c:v>
                </c:pt>
                <c:pt idx="100">
                  <c:v>7.9744663320183022</c:v>
                </c:pt>
                <c:pt idx="101">
                  <c:v>8.0662678418141844</c:v>
                </c:pt>
                <c:pt idx="102">
                  <c:v>8.1583098805356826</c:v>
                </c:pt>
                <c:pt idx="103">
                  <c:v>8.2505924481828004</c:v>
                </c:pt>
                <c:pt idx="104">
                  <c:v>8.3431155447555412</c:v>
                </c:pt>
                <c:pt idx="105">
                  <c:v>8.435879170253898</c:v>
                </c:pt>
                <c:pt idx="106">
                  <c:v>8.5288833246778761</c:v>
                </c:pt>
                <c:pt idx="107">
                  <c:v>8.6221280080274738</c:v>
                </c:pt>
                <c:pt idx="108">
                  <c:v>8.7156132203026928</c:v>
                </c:pt>
                <c:pt idx="109">
                  <c:v>8.8093389615035314</c:v>
                </c:pt>
                <c:pt idx="110">
                  <c:v>8.9033052316299894</c:v>
                </c:pt>
                <c:pt idx="111">
                  <c:v>8.9975120306820671</c:v>
                </c:pt>
                <c:pt idx="112">
                  <c:v>9.091959358659766</c:v>
                </c:pt>
                <c:pt idx="113">
                  <c:v>9.1866472155630809</c:v>
                </c:pt>
                <c:pt idx="114">
                  <c:v>9.2815756013920208</c:v>
                </c:pt>
                <c:pt idx="115">
                  <c:v>9.3767445161465766</c:v>
                </c:pt>
                <c:pt idx="116">
                  <c:v>9.4721539598267501</c:v>
                </c:pt>
                <c:pt idx="117">
                  <c:v>9.5678039324325486</c:v>
                </c:pt>
                <c:pt idx="118">
                  <c:v>9.6636944339639648</c:v>
                </c:pt>
                <c:pt idx="119">
                  <c:v>9.7598254644210023</c:v>
                </c:pt>
                <c:pt idx="120">
                  <c:v>9.8561970238036576</c:v>
                </c:pt>
                <c:pt idx="121">
                  <c:v>9.9528091121119324</c:v>
                </c:pt>
                <c:pt idx="122">
                  <c:v>10.049661729345829</c:v>
                </c:pt>
                <c:pt idx="123">
                  <c:v>10.146754875505344</c:v>
                </c:pt>
                <c:pt idx="124">
                  <c:v>10.244088550590483</c:v>
                </c:pt>
                <c:pt idx="125">
                  <c:v>10.341662754601234</c:v>
                </c:pt>
                <c:pt idx="126">
                  <c:v>10.439477487537612</c:v>
                </c:pt>
                <c:pt idx="127">
                  <c:v>10.537532749399606</c:v>
                </c:pt>
                <c:pt idx="128">
                  <c:v>10.635828540187221</c:v>
                </c:pt>
                <c:pt idx="129">
                  <c:v>10.734364859900456</c:v>
                </c:pt>
                <c:pt idx="130">
                  <c:v>10.833141708539308</c:v>
                </c:pt>
                <c:pt idx="131">
                  <c:v>10.932159086103784</c:v>
                </c:pt>
                <c:pt idx="132">
                  <c:v>11.031416992593879</c:v>
                </c:pt>
                <c:pt idx="133">
                  <c:v>11.130915428009592</c:v>
                </c:pt>
                <c:pt idx="134">
                  <c:v>11.230654392350926</c:v>
                </c:pt>
                <c:pt idx="135">
                  <c:v>11.33063388561788</c:v>
                </c:pt>
                <c:pt idx="136">
                  <c:v>11.430853907810455</c:v>
                </c:pt>
                <c:pt idx="137">
                  <c:v>11.531314458928648</c:v>
                </c:pt>
                <c:pt idx="138">
                  <c:v>11.63201553897246</c:v>
                </c:pt>
                <c:pt idx="139">
                  <c:v>11.732957147941896</c:v>
                </c:pt>
                <c:pt idx="140">
                  <c:v>11.834139285836947</c:v>
                </c:pt>
                <c:pt idx="141">
                  <c:v>11.93556195265762</c:v>
                </c:pt>
                <c:pt idx="142">
                  <c:v>12.037225148403911</c:v>
                </c:pt>
                <c:pt idx="143">
                  <c:v>12.139128873075824</c:v>
                </c:pt>
                <c:pt idx="144">
                  <c:v>12.241273126673356</c:v>
                </c:pt>
                <c:pt idx="145">
                  <c:v>12.343657909196509</c:v>
                </c:pt>
                <c:pt idx="146">
                  <c:v>12.446283220645279</c:v>
                </c:pt>
                <c:pt idx="147">
                  <c:v>12.549149061019673</c:v>
                </c:pt>
                <c:pt idx="148">
                  <c:v>12.652255430319682</c:v>
                </c:pt>
                <c:pt idx="149">
                  <c:v>12.755602328545315</c:v>
                </c:pt>
                <c:pt idx="150">
                  <c:v>12.859189755696566</c:v>
                </c:pt>
              </c:numCache>
            </c:numRef>
          </c:yVal>
          <c:smooth val="1"/>
          <c:extLst>
            <c:ext xmlns:c16="http://schemas.microsoft.com/office/drawing/2014/chart" uri="{C3380CC4-5D6E-409C-BE32-E72D297353CC}">
              <c16:uniqueId val="{00000001-50A0-4BAE-A18F-D1A285C4A90E}"/>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3.727916973194078E-2</c:v>
                </c:pt>
                <c:pt idx="1">
                  <c:v>3.96448424592135E-2</c:v>
                </c:pt>
                <c:pt idx="2">
                  <c:v>4.2072769731940775E-2</c:v>
                </c:pt>
                <c:pt idx="3">
                  <c:v>4.456295155012259E-2</c:v>
                </c:pt>
                <c:pt idx="4">
                  <c:v>4.7115387913758959E-2</c:v>
                </c:pt>
                <c:pt idx="5">
                  <c:v>4.9730078822849869E-2</c:v>
                </c:pt>
                <c:pt idx="6">
                  <c:v>5.2407024277395325E-2</c:v>
                </c:pt>
                <c:pt idx="7">
                  <c:v>5.5146224277395323E-2</c:v>
                </c:pt>
                <c:pt idx="8">
                  <c:v>5.7947678822849867E-2</c:v>
                </c:pt>
                <c:pt idx="9">
                  <c:v>6.0811387913758959E-2</c:v>
                </c:pt>
                <c:pt idx="10">
                  <c:v>6.3737351550122598E-2</c:v>
                </c:pt>
                <c:pt idx="11">
                  <c:v>6.6725569731940784E-2</c:v>
                </c:pt>
                <c:pt idx="12">
                  <c:v>6.9776042459213511E-2</c:v>
                </c:pt>
                <c:pt idx="13">
                  <c:v>7.2888769731940778E-2</c:v>
                </c:pt>
                <c:pt idx="14">
                  <c:v>7.6063751550122613E-2</c:v>
                </c:pt>
                <c:pt idx="15">
                  <c:v>7.9300987913758975E-2</c:v>
                </c:pt>
                <c:pt idx="16">
                  <c:v>8.2600478822849877E-2</c:v>
                </c:pt>
                <c:pt idx="17">
                  <c:v>8.5962224277395347E-2</c:v>
                </c:pt>
                <c:pt idx="18">
                  <c:v>8.9386224277395315E-2</c:v>
                </c:pt>
                <c:pt idx="19">
                  <c:v>9.287247882284988E-2</c:v>
                </c:pt>
                <c:pt idx="20">
                  <c:v>9.6420987913758957E-2</c:v>
                </c:pt>
                <c:pt idx="21">
                  <c:v>0.10003175155012259</c:v>
                </c:pt>
                <c:pt idx="22">
                  <c:v>0.10370476973194079</c:v>
                </c:pt>
                <c:pt idx="23">
                  <c:v>0.1074400424592135</c:v>
                </c:pt>
                <c:pt idx="24">
                  <c:v>0.11123756973194079</c:v>
                </c:pt>
                <c:pt idx="25">
                  <c:v>0.11509735155012259</c:v>
                </c:pt>
                <c:pt idx="26">
                  <c:v>0.11901938791375896</c:v>
                </c:pt>
                <c:pt idx="27">
                  <c:v>0.12300367882284989</c:v>
                </c:pt>
                <c:pt idx="28">
                  <c:v>0.12705022427739537</c:v>
                </c:pt>
                <c:pt idx="29">
                  <c:v>0.13115902427739531</c:v>
                </c:pt>
                <c:pt idx="30">
                  <c:v>0.13533007882284989</c:v>
                </c:pt>
                <c:pt idx="31">
                  <c:v>0.13956338791375894</c:v>
                </c:pt>
                <c:pt idx="32">
                  <c:v>0.14385895155012263</c:v>
                </c:pt>
                <c:pt idx="33">
                  <c:v>0.14821676973194081</c:v>
                </c:pt>
                <c:pt idx="34">
                  <c:v>0.1526368424592135</c:v>
                </c:pt>
                <c:pt idx="35">
                  <c:v>0.15711916973194079</c:v>
                </c:pt>
                <c:pt idx="36">
                  <c:v>0.16166375155012261</c:v>
                </c:pt>
                <c:pt idx="37">
                  <c:v>0.16627058791375893</c:v>
                </c:pt>
                <c:pt idx="38">
                  <c:v>0.17093967882284991</c:v>
                </c:pt>
                <c:pt idx="39">
                  <c:v>0.17567102427739534</c:v>
                </c:pt>
                <c:pt idx="40">
                  <c:v>0.18046462427739537</c:v>
                </c:pt>
                <c:pt idx="41">
                  <c:v>0.18532047882284991</c:v>
                </c:pt>
                <c:pt idx="42">
                  <c:v>0.19023858791375892</c:v>
                </c:pt>
                <c:pt idx="43">
                  <c:v>0.19521895155012256</c:v>
                </c:pt>
                <c:pt idx="44">
                  <c:v>0.20026156973194081</c:v>
                </c:pt>
                <c:pt idx="45">
                  <c:v>0.20536644245921354</c:v>
                </c:pt>
                <c:pt idx="46">
                  <c:v>0.21053356973194076</c:v>
                </c:pt>
                <c:pt idx="47">
                  <c:v>0.21576295155012259</c:v>
                </c:pt>
                <c:pt idx="48">
                  <c:v>0.22105458791375895</c:v>
                </c:pt>
                <c:pt idx="49">
                  <c:v>0.2264084788228499</c:v>
                </c:pt>
                <c:pt idx="50">
                  <c:v>0.23182462427739531</c:v>
                </c:pt>
                <c:pt idx="51">
                  <c:v>0.2373030242773953</c:v>
                </c:pt>
                <c:pt idx="52">
                  <c:v>0.24284367882284988</c:v>
                </c:pt>
                <c:pt idx="53">
                  <c:v>0.24844658791375895</c:v>
                </c:pt>
                <c:pt idx="54">
                  <c:v>0.25411175155012256</c:v>
                </c:pt>
                <c:pt idx="55">
                  <c:v>0.25983916973194082</c:v>
                </c:pt>
                <c:pt idx="56">
                  <c:v>0.26562884245921353</c:v>
                </c:pt>
                <c:pt idx="57">
                  <c:v>0.27148076973194085</c:v>
                </c:pt>
                <c:pt idx="58">
                  <c:v>0.27739495155012261</c:v>
                </c:pt>
                <c:pt idx="59">
                  <c:v>0.28337138791375888</c:v>
                </c:pt>
                <c:pt idx="60">
                  <c:v>0.28941007882284991</c:v>
                </c:pt>
                <c:pt idx="61">
                  <c:v>0.29551102427739534</c:v>
                </c:pt>
                <c:pt idx="62">
                  <c:v>0.30167422427739538</c:v>
                </c:pt>
                <c:pt idx="63">
                  <c:v>0.30789967882284985</c:v>
                </c:pt>
                <c:pt idx="64">
                  <c:v>0.314187387913759</c:v>
                </c:pt>
                <c:pt idx="65">
                  <c:v>0.32053735155012258</c:v>
                </c:pt>
                <c:pt idx="66">
                  <c:v>0.32694956973194084</c:v>
                </c:pt>
                <c:pt idx="67">
                  <c:v>0.33342404245921342</c:v>
                </c:pt>
                <c:pt idx="68">
                  <c:v>0.33996076973194084</c:v>
                </c:pt>
                <c:pt idx="69">
                  <c:v>0.34655975155012264</c:v>
                </c:pt>
                <c:pt idx="70">
                  <c:v>0.35322098791375905</c:v>
                </c:pt>
                <c:pt idx="71">
                  <c:v>0.35994447882284986</c:v>
                </c:pt>
                <c:pt idx="72">
                  <c:v>0.36673022427739532</c:v>
                </c:pt>
                <c:pt idx="73">
                  <c:v>0.3735782242773954</c:v>
                </c:pt>
                <c:pt idx="74">
                  <c:v>0.38048847882284981</c:v>
                </c:pt>
                <c:pt idx="75">
                  <c:v>0.38746098791375905</c:v>
                </c:pt>
                <c:pt idx="76">
                  <c:v>0.39449575155012273</c:v>
                </c:pt>
                <c:pt idx="77">
                  <c:v>0.4015927697319408</c:v>
                </c:pt>
                <c:pt idx="78">
                  <c:v>0.40875204245921359</c:v>
                </c:pt>
                <c:pt idx="79">
                  <c:v>0.41597356973194088</c:v>
                </c:pt>
                <c:pt idx="80">
                  <c:v>0.42325735155012273</c:v>
                </c:pt>
                <c:pt idx="81">
                  <c:v>0.43060338791375896</c:v>
                </c:pt>
                <c:pt idx="82">
                  <c:v>0.43801167882285003</c:v>
                </c:pt>
                <c:pt idx="83">
                  <c:v>0.44548222427739537</c:v>
                </c:pt>
                <c:pt idx="84">
                  <c:v>0.45301502427739515</c:v>
                </c:pt>
                <c:pt idx="85">
                  <c:v>0.46061007882284982</c:v>
                </c:pt>
                <c:pt idx="86">
                  <c:v>0.46826738791375899</c:v>
                </c:pt>
                <c:pt idx="87">
                  <c:v>0.47598695155012261</c:v>
                </c:pt>
                <c:pt idx="88">
                  <c:v>0.48376876973194094</c:v>
                </c:pt>
                <c:pt idx="89">
                  <c:v>0.49161284245921366</c:v>
                </c:pt>
                <c:pt idx="90">
                  <c:v>0.49951916973194077</c:v>
                </c:pt>
                <c:pt idx="91">
                  <c:v>0.5074877515501226</c:v>
                </c:pt>
                <c:pt idx="92">
                  <c:v>0.51551858791375904</c:v>
                </c:pt>
                <c:pt idx="93">
                  <c:v>0.52361167882284998</c:v>
                </c:pt>
                <c:pt idx="94">
                  <c:v>0.53176702427739553</c:v>
                </c:pt>
                <c:pt idx="95">
                  <c:v>0.53998462427739535</c:v>
                </c:pt>
                <c:pt idx="96">
                  <c:v>0.5482644788228499</c:v>
                </c:pt>
                <c:pt idx="97">
                  <c:v>0.55660658791375905</c:v>
                </c:pt>
                <c:pt idx="98">
                  <c:v>0.56501095155012271</c:v>
                </c:pt>
                <c:pt idx="99">
                  <c:v>0.57347756973194075</c:v>
                </c:pt>
                <c:pt idx="100">
                  <c:v>0.58200644245921351</c:v>
                </c:pt>
                <c:pt idx="101">
                  <c:v>0.59059756973194077</c:v>
                </c:pt>
                <c:pt idx="102">
                  <c:v>0.59925095155012253</c:v>
                </c:pt>
                <c:pt idx="103">
                  <c:v>0.60796658791375902</c:v>
                </c:pt>
                <c:pt idx="104">
                  <c:v>0.61674447882285</c:v>
                </c:pt>
                <c:pt idx="105">
                  <c:v>0.62558462427739536</c:v>
                </c:pt>
                <c:pt idx="106">
                  <c:v>0.63448702427739523</c:v>
                </c:pt>
                <c:pt idx="107">
                  <c:v>0.64345167882284982</c:v>
                </c:pt>
                <c:pt idx="108">
                  <c:v>0.6524785879137589</c:v>
                </c:pt>
                <c:pt idx="109">
                  <c:v>0.6615677515501226</c:v>
                </c:pt>
                <c:pt idx="110">
                  <c:v>0.67071916973194079</c:v>
                </c:pt>
                <c:pt idx="111">
                  <c:v>0.6799328424592137</c:v>
                </c:pt>
                <c:pt idx="112">
                  <c:v>0.68920876973194112</c:v>
                </c:pt>
                <c:pt idx="113">
                  <c:v>0.6985469515501227</c:v>
                </c:pt>
                <c:pt idx="114">
                  <c:v>0.70794738791375922</c:v>
                </c:pt>
                <c:pt idx="115">
                  <c:v>0.71741007882284991</c:v>
                </c:pt>
                <c:pt idx="116">
                  <c:v>0.72693502427739531</c:v>
                </c:pt>
                <c:pt idx="117">
                  <c:v>0.73652222427739533</c:v>
                </c:pt>
                <c:pt idx="118">
                  <c:v>0.74617167882284974</c:v>
                </c:pt>
                <c:pt idx="119">
                  <c:v>0.75588338791375898</c:v>
                </c:pt>
                <c:pt idx="120">
                  <c:v>0.7656573515501226</c:v>
                </c:pt>
                <c:pt idx="121">
                  <c:v>0.77549356973194072</c:v>
                </c:pt>
                <c:pt idx="122">
                  <c:v>0.78539204245921357</c:v>
                </c:pt>
                <c:pt idx="123">
                  <c:v>0.79535276973194047</c:v>
                </c:pt>
                <c:pt idx="124">
                  <c:v>0.80537575155012275</c:v>
                </c:pt>
                <c:pt idx="125">
                  <c:v>0.81546098791375887</c:v>
                </c:pt>
                <c:pt idx="126">
                  <c:v>0.82560847882284971</c:v>
                </c:pt>
                <c:pt idx="127">
                  <c:v>0.83581822427739572</c:v>
                </c:pt>
                <c:pt idx="128">
                  <c:v>0.84609022427739533</c:v>
                </c:pt>
                <c:pt idx="129">
                  <c:v>0.85642447882285</c:v>
                </c:pt>
                <c:pt idx="130">
                  <c:v>0.86682098791375894</c:v>
                </c:pt>
                <c:pt idx="131">
                  <c:v>0.87727975155012283</c:v>
                </c:pt>
                <c:pt idx="132">
                  <c:v>0.887800769731941</c:v>
                </c:pt>
                <c:pt idx="133">
                  <c:v>0.89838404245921366</c:v>
                </c:pt>
                <c:pt idx="134">
                  <c:v>0.90902956973194082</c:v>
                </c:pt>
                <c:pt idx="135">
                  <c:v>0.91973735155012271</c:v>
                </c:pt>
                <c:pt idx="136">
                  <c:v>0.93050738791375909</c:v>
                </c:pt>
                <c:pt idx="137">
                  <c:v>0.94133967882284986</c:v>
                </c:pt>
                <c:pt idx="138">
                  <c:v>0.95223422427739557</c:v>
                </c:pt>
                <c:pt idx="139">
                  <c:v>0.96319102427739556</c:v>
                </c:pt>
                <c:pt idx="140">
                  <c:v>0.97421007882285005</c:v>
                </c:pt>
                <c:pt idx="141">
                  <c:v>0.98529138791375903</c:v>
                </c:pt>
                <c:pt idx="142">
                  <c:v>0.99643495155012263</c:v>
                </c:pt>
                <c:pt idx="143">
                  <c:v>1.0076407697319405</c:v>
                </c:pt>
                <c:pt idx="144">
                  <c:v>1.0189088424592134</c:v>
                </c:pt>
                <c:pt idx="145">
                  <c:v>1.0302391697319409</c:v>
                </c:pt>
                <c:pt idx="146">
                  <c:v>1.0416317515501226</c:v>
                </c:pt>
                <c:pt idx="147">
                  <c:v>1.053086587913759</c:v>
                </c:pt>
                <c:pt idx="148">
                  <c:v>1.0646036788228499</c:v>
                </c:pt>
                <c:pt idx="149">
                  <c:v>1.0761830242773953</c:v>
                </c:pt>
                <c:pt idx="150">
                  <c:v>1.0878246242773955</c:v>
                </c:pt>
              </c:numCache>
            </c:numRef>
          </c:yVal>
          <c:smooth val="1"/>
          <c:extLst>
            <c:ext xmlns:c16="http://schemas.microsoft.com/office/drawing/2014/chart" uri="{C3380CC4-5D6E-409C-BE32-E72D297353CC}">
              <c16:uniqueId val="{00000002-50A0-4BAE-A18F-D1A285C4A90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50A0-4BAE-A18F-D1A285C4A90E}"/>
            </c:ext>
          </c:extLst>
        </c:ser>
        <c:dLbls>
          <c:showLegendKey val="0"/>
          <c:showVal val="0"/>
          <c:showCatName val="0"/>
          <c:showSerName val="0"/>
          <c:showPercent val="0"/>
          <c:showBubbleSize val="0"/>
        </c:dLbls>
        <c:axId val="555656704"/>
        <c:axId val="555646336"/>
      </c:scatterChart>
      <c:valAx>
        <c:axId val="555642880"/>
        <c:scaling>
          <c:orientation val="minMax"/>
        </c:scaling>
        <c:delete val="0"/>
        <c:axPos val="b"/>
        <c:majorGridlines/>
        <c:numFmt formatCode="General" sourceLinked="1"/>
        <c:majorTickMark val="out"/>
        <c:minorTickMark val="none"/>
        <c:tickLblPos val="nextTo"/>
        <c:crossAx val="555644416"/>
        <c:crosses val="autoZero"/>
        <c:crossBetween val="midCat"/>
      </c:valAx>
      <c:valAx>
        <c:axId val="55564441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55642880"/>
        <c:crosses val="autoZero"/>
        <c:crossBetween val="midCat"/>
      </c:valAx>
      <c:valAx>
        <c:axId val="55564633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55656704"/>
        <c:crosses val="max"/>
        <c:crossBetween val="midCat"/>
      </c:valAx>
      <c:valAx>
        <c:axId val="55565670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5564633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39.514690925509072</c:v>
                </c:pt>
                <c:pt idx="2">
                  <c:v>56.117775039292951</c:v>
                </c:pt>
                <c:pt idx="3">
                  <c:v>65.252581517022051</c:v>
                </c:pt>
                <c:pt idx="4">
                  <c:v>71.029504898022296</c:v>
                </c:pt>
                <c:pt idx="5">
                  <c:v>75.010165474990188</c:v>
                </c:pt>
                <c:pt idx="6">
                  <c:v>77.917817299594972</c:v>
                </c:pt>
                <c:pt idx="7">
                  <c:v>80.133377180741704</c:v>
                </c:pt>
                <c:pt idx="8">
                  <c:v>81.876540579915059</c:v>
                </c:pt>
                <c:pt idx="9">
                  <c:v>83.282915265419859</c:v>
                </c:pt>
                <c:pt idx="10">
                  <c:v>84.440738332544981</c:v>
                </c:pt>
                <c:pt idx="11">
                  <c:v>85.409899380681026</c:v>
                </c:pt>
                <c:pt idx="12">
                  <c:v>86.232478005946703</c:v>
                </c:pt>
                <c:pt idx="13">
                  <c:v>86.938906100073297</c:v>
                </c:pt>
                <c:pt idx="14">
                  <c:v>87.551737144091788</c:v>
                </c:pt>
                <c:pt idx="15">
                  <c:v>88.088040748716423</c:v>
                </c:pt>
                <c:pt idx="16">
                  <c:v>88.560973893791413</c:v>
                </c:pt>
                <c:pt idx="17">
                  <c:v>88.980841217120513</c:v>
                </c:pt>
                <c:pt idx="18">
                  <c:v>89.355828235000729</c:v>
                </c:pt>
                <c:pt idx="19">
                  <c:v>89.69251944511673</c:v>
                </c:pt>
                <c:pt idx="20">
                  <c:v>89.996271510808356</c:v>
                </c:pt>
                <c:pt idx="21">
                  <c:v>90.271486711353461</c:v>
                </c:pt>
                <c:pt idx="22">
                  <c:v>90.521816428615992</c:v>
                </c:pt>
                <c:pt idx="23">
                  <c:v>90.750314699910533</c:v>
                </c:pt>
                <c:pt idx="24">
                  <c:v>90.95955557090582</c:v>
                </c:pt>
                <c:pt idx="25">
                  <c:v>91.15172382861536</c:v>
                </c:pt>
                <c:pt idx="26">
                  <c:v>91.328685902602786</c:v>
                </c:pt>
                <c:pt idx="27">
                  <c:v>91.492045813793894</c:v>
                </c:pt>
                <c:pt idx="28">
                  <c:v>91.643189724850757</c:v>
                </c:pt>
                <c:pt idx="29">
                  <c:v>91.783321712371318</c:v>
                </c:pt>
                <c:pt idx="30">
                  <c:v>91.913492714673012</c:v>
                </c:pt>
                <c:pt idx="31">
                  <c:v>92.034624127263967</c:v>
                </c:pt>
                <c:pt idx="32">
                  <c:v>92.147527166041428</c:v>
                </c:pt>
                <c:pt idx="33">
                  <c:v>92.252918858165771</c:v>
                </c:pt>
                <c:pt idx="34">
                  <c:v>92.351435326499313</c:v>
                </c:pt>
                <c:pt idx="35">
                  <c:v>92.443642887352794</c:v>
                </c:pt>
                <c:pt idx="36">
                  <c:v>92.5300473702587</c:v>
                </c:pt>
                <c:pt idx="37">
                  <c:v>92.611101983453224</c:v>
                </c:pt>
                <c:pt idx="38">
                  <c:v>92.68721398311061</c:v>
                </c:pt>
                <c:pt idx="39">
                  <c:v>92.758750353340744</c:v>
                </c:pt>
                <c:pt idx="40">
                  <c:v>92.826042664006891</c:v>
                </c:pt>
                <c:pt idx="41">
                  <c:v>92.889391241938839</c:v>
                </c:pt>
                <c:pt idx="42">
                  <c:v>92.949068766154539</c:v>
                </c:pt>
                <c:pt idx="43">
                  <c:v>93.005323377795861</c:v>
                </c:pt>
                <c:pt idx="44">
                  <c:v>93.058381379518949</c:v>
                </c:pt>
                <c:pt idx="45">
                  <c:v>93.108449586206973</c:v>
                </c:pt>
                <c:pt idx="46">
                  <c:v>93.155717378442745</c:v>
                </c:pt>
                <c:pt idx="47">
                  <c:v>93.200358501685457</c:v>
                </c:pt>
                <c:pt idx="48">
                  <c:v>93.242532647148224</c:v>
                </c:pt>
                <c:pt idx="49">
                  <c:v>93.282386844665467</c:v>
                </c:pt>
                <c:pt idx="50">
                  <c:v>93.320056693129089</c:v>
                </c:pt>
                <c:pt idx="51">
                  <c:v>93.355667450171552</c:v>
                </c:pt>
                <c:pt idx="52">
                  <c:v>93.389334999528913</c:v>
                </c:pt>
                <c:pt idx="53">
                  <c:v>93.421166711808866</c:v>
                </c:pt>
                <c:pt idx="54">
                  <c:v>93.451262212120184</c:v>
                </c:pt>
                <c:pt idx="55">
                  <c:v>93.47971406611299</c:v>
                </c:pt>
                <c:pt idx="56">
                  <c:v>93.506608394370872</c:v>
                </c:pt>
                <c:pt idx="57">
                  <c:v>93.532025423735206</c:v>
                </c:pt>
                <c:pt idx="58">
                  <c:v>93.556039982987926</c:v>
                </c:pt>
                <c:pt idx="59">
                  <c:v>93.578721949335502</c:v>
                </c:pt>
                <c:pt idx="60">
                  <c:v>93.600136651298669</c:v>
                </c:pt>
                <c:pt idx="61">
                  <c:v>93.62034523289428</c:v>
                </c:pt>
                <c:pt idx="62">
                  <c:v>93.639404983379521</c:v>
                </c:pt>
                <c:pt idx="63">
                  <c:v>93.657369636298895</c:v>
                </c:pt>
                <c:pt idx="64">
                  <c:v>93.674289641116843</c:v>
                </c:pt>
                <c:pt idx="65">
                  <c:v>93.690212410324236</c:v>
                </c:pt>
                <c:pt idx="66">
                  <c:v>93.705182544563613</c:v>
                </c:pt>
                <c:pt idx="67">
                  <c:v>93.719242038021321</c:v>
                </c:pt>
                <c:pt idx="68">
                  <c:v>93.732430466075414</c:v>
                </c:pt>
                <c:pt idx="69">
                  <c:v>93.74478515696228</c:v>
                </c:pt>
                <c:pt idx="70">
                  <c:v>93.756341349027821</c:v>
                </c:pt>
                <c:pt idx="71">
                  <c:v>93.767132334955988</c:v>
                </c:pt>
                <c:pt idx="72">
                  <c:v>93.7771895942154</c:v>
                </c:pt>
                <c:pt idx="73">
                  <c:v>93.786542914832296</c:v>
                </c:pt>
                <c:pt idx="74">
                  <c:v>93.795220505479861</c:v>
                </c:pt>
                <c:pt idx="75">
                  <c:v>93.803249098770394</c:v>
                </c:pt>
                <c:pt idx="76">
                  <c:v>93.810654046545778</c:v>
                </c:pt>
                <c:pt idx="77">
                  <c:v>93.81745940787988</c:v>
                </c:pt>
                <c:pt idx="78">
                  <c:v>93.823688030435221</c:v>
                </c:pt>
                <c:pt idx="79">
                  <c:v>93.829361625752114</c:v>
                </c:pt>
                <c:pt idx="80">
                  <c:v>93.834500838991602</c:v>
                </c:pt>
                <c:pt idx="81">
                  <c:v>93.839125313603219</c:v>
                </c:pt>
                <c:pt idx="82">
                  <c:v>93.843253751343198</c:v>
                </c:pt>
                <c:pt idx="83">
                  <c:v>93.846903968028599</c:v>
                </c:pt>
                <c:pt idx="84">
                  <c:v>93.850092945376517</c:v>
                </c:pt>
                <c:pt idx="85">
                  <c:v>93.852836879245544</c:v>
                </c:pt>
                <c:pt idx="86">
                  <c:v>93.855151224567408</c:v>
                </c:pt>
                <c:pt idx="87">
                  <c:v>93.857050737230523</c:v>
                </c:pt>
                <c:pt idx="88">
                  <c:v>93.858549513154372</c:v>
                </c:pt>
                <c:pt idx="89">
                  <c:v>93.859661024771839</c:v>
                </c:pt>
                <c:pt idx="90">
                  <c:v>93.860398155117906</c:v>
                </c:pt>
                <c:pt idx="91">
                  <c:v>93.860773229706098</c:v>
                </c:pt>
                <c:pt idx="92">
                  <c:v>93.860798046358227</c:v>
                </c:pt>
                <c:pt idx="93">
                  <c:v>93.860483903139311</c:v>
                </c:pt>
                <c:pt idx="94">
                  <c:v>93.859841624536372</c:v>
                </c:pt>
                <c:pt idx="95">
                  <c:v>93.85888158600882</c:v>
                </c:pt>
                <c:pt idx="96">
                  <c:v>93.857613737027222</c:v>
                </c:pt>
                <c:pt idx="97">
                  <c:v>93.85604762270799</c:v>
                </c:pt>
                <c:pt idx="98">
                  <c:v>93.854192404142907</c:v>
                </c:pt>
                <c:pt idx="99">
                  <c:v>93.852056877514173</c:v>
                </c:pt>
                <c:pt idx="100">
                  <c:v>93.849649492079152</c:v>
                </c:pt>
                <c:pt idx="101">
                  <c:v>93.846978367101769</c:v>
                </c:pt>
                <c:pt idx="102">
                  <c:v>93.844051307801763</c:v>
                </c:pt>
                <c:pt idx="103">
                  <c:v>93.840875820388078</c:v>
                </c:pt>
                <c:pt idx="104">
                  <c:v>93.837459126236567</c:v>
                </c:pt>
                <c:pt idx="105">
                  <c:v>93.833808175268757</c:v>
                </c:pt>
                <c:pt idx="106">
                  <c:v>93.829929658583495</c:v>
                </c:pt>
                <c:pt idx="107">
                  <c:v>93.825830020389745</c:v>
                </c:pt>
                <c:pt idx="108">
                  <c:v>93.821515469285274</c:v>
                </c:pt>
                <c:pt idx="109">
                  <c:v>93.816991988922638</c:v>
                </c:pt>
                <c:pt idx="110">
                  <c:v>93.812265348100908</c:v>
                </c:pt>
                <c:pt idx="111">
                  <c:v>93.807341110319015</c:v>
                </c:pt>
                <c:pt idx="112">
                  <c:v>93.802224642823802</c:v>
                </c:pt>
                <c:pt idx="113">
                  <c:v>93.796921125183758</c:v>
                </c:pt>
                <c:pt idx="114">
                  <c:v>93.791435557417117</c:v>
                </c:pt>
                <c:pt idx="115">
                  <c:v>93.785772767701317</c:v>
                </c:pt>
                <c:pt idx="116">
                  <c:v>93.779937419688409</c:v>
                </c:pt>
                <c:pt idx="117">
                  <c:v>93.773934019450095</c:v>
                </c:pt>
                <c:pt idx="118">
                  <c:v>93.767766922073776</c:v>
                </c:pt>
                <c:pt idx="119">
                  <c:v>93.761440337930196</c:v>
                </c:pt>
                <c:pt idx="120">
                  <c:v>93.754958338631269</c:v>
                </c:pt>
                <c:pt idx="121">
                  <c:v>93.748324862696037</c:v>
                </c:pt>
                <c:pt idx="122">
                  <c:v>93.741543720941351</c:v>
                </c:pt>
                <c:pt idx="123">
                  <c:v>93.734618601612482</c:v>
                </c:pt>
                <c:pt idx="124">
                  <c:v>93.727553075268574</c:v>
                </c:pt>
                <c:pt idx="125">
                  <c:v>93.720350599436017</c:v>
                </c:pt>
                <c:pt idx="126">
                  <c:v>93.713014523042943</c:v>
                </c:pt>
                <c:pt idx="127">
                  <c:v>93.705548090646531</c:v>
                </c:pt>
                <c:pt idx="128">
                  <c:v>93.697954446464365</c:v>
                </c:pt>
                <c:pt idx="129">
                  <c:v>93.690236638220441</c:v>
                </c:pt>
                <c:pt idx="130">
                  <c:v>93.682397620815422</c:v>
                </c:pt>
                <c:pt idx="131">
                  <c:v>93.674440259830959</c:v>
                </c:pt>
                <c:pt idx="132">
                  <c:v>93.666367334876185</c:v>
                </c:pt>
                <c:pt idx="133">
                  <c:v>93.658181542784916</c:v>
                </c:pt>
                <c:pt idx="134">
                  <c:v>93.649885500671317</c:v>
                </c:pt>
                <c:pt idx="135">
                  <c:v>93.641481748851177</c:v>
                </c:pt>
                <c:pt idx="136">
                  <c:v>93.632972753635599</c:v>
                </c:pt>
                <c:pt idx="137">
                  <c:v>93.624360910003716</c:v>
                </c:pt>
                <c:pt idx="138">
                  <c:v>93.615648544160294</c:v>
                </c:pt>
                <c:pt idx="139">
                  <c:v>93.606837915984158</c:v>
                </c:pt>
                <c:pt idx="140">
                  <c:v>93.597931221372789</c:v>
                </c:pt>
                <c:pt idx="141">
                  <c:v>93.588930594488104</c:v>
                </c:pt>
                <c:pt idx="142">
                  <c:v>93.579838109908295</c:v>
                </c:pt>
                <c:pt idx="143">
                  <c:v>93.570655784690302</c:v>
                </c:pt>
                <c:pt idx="144">
                  <c:v>93.561385580347306</c:v>
                </c:pt>
                <c:pt idx="145">
                  <c:v>93.552029404745028</c:v>
                </c:pt>
                <c:pt idx="146">
                  <c:v>93.542589113920982</c:v>
                </c:pt>
                <c:pt idx="147">
                  <c:v>93.533066513830192</c:v>
                </c:pt>
                <c:pt idx="148">
                  <c:v>93.523463362020792</c:v>
                </c:pt>
                <c:pt idx="149">
                  <c:v>93.513781369242793</c:v>
                </c:pt>
                <c:pt idx="150">
                  <c:v>93.504022200993148</c:v>
                </c:pt>
              </c:numCache>
            </c:numRef>
          </c:yVal>
          <c:smooth val="0"/>
          <c:extLst>
            <c:ext xmlns:c16="http://schemas.microsoft.com/office/drawing/2014/chart" uri="{C3380CC4-5D6E-409C-BE32-E72D297353CC}">
              <c16:uniqueId val="{00000000-7DAF-432D-B540-E0424C156B7E}"/>
            </c:ext>
          </c:extLst>
        </c:ser>
        <c:dLbls>
          <c:showLegendKey val="0"/>
          <c:showVal val="0"/>
          <c:showCatName val="0"/>
          <c:showSerName val="0"/>
          <c:showPercent val="0"/>
          <c:showBubbleSize val="0"/>
        </c:dLbls>
        <c:axId val="522488064"/>
        <c:axId val="522489856"/>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7.6735044044431697E-2</c:v>
                </c:pt>
                <c:pt idx="2">
                  <c:v>0.14472419020394739</c:v>
                </c:pt>
                <c:pt idx="3">
                  <c:v>0.21295386528908289</c:v>
                </c:pt>
                <c:pt idx="4">
                  <c:v>0.28142406929983826</c:v>
                </c:pt>
                <c:pt idx="5">
                  <c:v>0.3501348022362134</c:v>
                </c:pt>
                <c:pt idx="6">
                  <c:v>0.41908606409820842</c:v>
                </c:pt>
                <c:pt idx="7">
                  <c:v>0.48827785488582348</c:v>
                </c:pt>
                <c:pt idx="8">
                  <c:v>0.55771017459905803</c:v>
                </c:pt>
                <c:pt idx="9">
                  <c:v>0.62738302323791251</c:v>
                </c:pt>
                <c:pt idx="10">
                  <c:v>0.69729640080238686</c:v>
                </c:pt>
                <c:pt idx="11">
                  <c:v>0.7674503072924812</c:v>
                </c:pt>
                <c:pt idx="12">
                  <c:v>0.83784474270819509</c:v>
                </c:pt>
                <c:pt idx="13">
                  <c:v>0.90847970704952918</c:v>
                </c:pt>
                <c:pt idx="14">
                  <c:v>0.97935520031648293</c:v>
                </c:pt>
                <c:pt idx="15">
                  <c:v>1.0504712225090562</c:v>
                </c:pt>
                <c:pt idx="16">
                  <c:v>1.1218277736272497</c:v>
                </c:pt>
                <c:pt idx="17">
                  <c:v>1.193424853671063</c:v>
                </c:pt>
                <c:pt idx="18">
                  <c:v>1.2652624626404958</c:v>
                </c:pt>
                <c:pt idx="19">
                  <c:v>1.337340600535549</c:v>
                </c:pt>
                <c:pt idx="20">
                  <c:v>1.4096592673562214</c:v>
                </c:pt>
                <c:pt idx="21">
                  <c:v>1.4822184631025137</c:v>
                </c:pt>
                <c:pt idx="22">
                  <c:v>1.5550181877744265</c:v>
                </c:pt>
                <c:pt idx="23">
                  <c:v>1.6280584413719588</c:v>
                </c:pt>
                <c:pt idx="24">
                  <c:v>1.7013392238951106</c:v>
                </c:pt>
                <c:pt idx="25">
                  <c:v>1.7748605353438824</c:v>
                </c:pt>
                <c:pt idx="26">
                  <c:v>1.8486223757182745</c:v>
                </c:pt>
                <c:pt idx="27">
                  <c:v>1.9226247450182858</c:v>
                </c:pt>
                <c:pt idx="28">
                  <c:v>1.9968676432439179</c:v>
                </c:pt>
                <c:pt idx="29">
                  <c:v>2.0713510703951683</c:v>
                </c:pt>
                <c:pt idx="30">
                  <c:v>2.1460750264720394</c:v>
                </c:pt>
                <c:pt idx="31">
                  <c:v>2.2210395114745305</c:v>
                </c:pt>
                <c:pt idx="32">
                  <c:v>2.2962445254026411</c:v>
                </c:pt>
                <c:pt idx="33">
                  <c:v>2.3716900682563713</c:v>
                </c:pt>
                <c:pt idx="34">
                  <c:v>2.4473761400357223</c:v>
                </c:pt>
                <c:pt idx="35">
                  <c:v>2.5233027407406925</c:v>
                </c:pt>
                <c:pt idx="36">
                  <c:v>2.5994698703712822</c:v>
                </c:pt>
                <c:pt idx="37">
                  <c:v>2.6758775289274919</c:v>
                </c:pt>
                <c:pt idx="38">
                  <c:v>2.7525257164093224</c:v>
                </c:pt>
                <c:pt idx="39">
                  <c:v>2.8294144328167716</c:v>
                </c:pt>
                <c:pt idx="40">
                  <c:v>2.9065436781498408</c:v>
                </c:pt>
                <c:pt idx="41">
                  <c:v>2.9839134524085309</c:v>
                </c:pt>
                <c:pt idx="42">
                  <c:v>3.0615237555928387</c:v>
                </c:pt>
                <c:pt idx="43">
                  <c:v>3.1393745877027683</c:v>
                </c:pt>
                <c:pt idx="44">
                  <c:v>3.217465948738317</c:v>
                </c:pt>
                <c:pt idx="45">
                  <c:v>3.2957978386994853</c:v>
                </c:pt>
                <c:pt idx="46">
                  <c:v>3.374370257586274</c:v>
                </c:pt>
                <c:pt idx="47">
                  <c:v>3.4531832053986822</c:v>
                </c:pt>
                <c:pt idx="48">
                  <c:v>3.5322366821367099</c:v>
                </c:pt>
                <c:pt idx="49">
                  <c:v>3.6115306878003577</c:v>
                </c:pt>
                <c:pt idx="50">
                  <c:v>3.6910652223896254</c:v>
                </c:pt>
                <c:pt idx="51">
                  <c:v>3.770840285904514</c:v>
                </c:pt>
                <c:pt idx="52">
                  <c:v>3.8508558783450217</c:v>
                </c:pt>
                <c:pt idx="53">
                  <c:v>3.9311119997111481</c:v>
                </c:pt>
                <c:pt idx="54">
                  <c:v>4.0116086500028958</c:v>
                </c:pt>
                <c:pt idx="55">
                  <c:v>4.0923458292202621</c:v>
                </c:pt>
                <c:pt idx="56">
                  <c:v>4.1733235373632498</c:v>
                </c:pt>
                <c:pt idx="57">
                  <c:v>4.2545417744318561</c:v>
                </c:pt>
                <c:pt idx="58">
                  <c:v>4.336000540426082</c:v>
                </c:pt>
                <c:pt idx="59">
                  <c:v>4.4176998353459282</c:v>
                </c:pt>
                <c:pt idx="60">
                  <c:v>4.499639659191395</c:v>
                </c:pt>
                <c:pt idx="61">
                  <c:v>4.5818200119624795</c:v>
                </c:pt>
                <c:pt idx="62">
                  <c:v>4.6642408936591861</c:v>
                </c:pt>
                <c:pt idx="63">
                  <c:v>4.7469023042815124</c:v>
                </c:pt>
                <c:pt idx="64">
                  <c:v>4.8298042438294573</c:v>
                </c:pt>
                <c:pt idx="65">
                  <c:v>4.9129467123030217</c:v>
                </c:pt>
                <c:pt idx="66">
                  <c:v>4.9963297097022075</c:v>
                </c:pt>
                <c:pt idx="67">
                  <c:v>5.0799532360270119</c:v>
                </c:pt>
                <c:pt idx="68">
                  <c:v>5.1638172912774376</c:v>
                </c:pt>
                <c:pt idx="69">
                  <c:v>5.247921875453482</c:v>
                </c:pt>
                <c:pt idx="70">
                  <c:v>5.3322669885551468</c:v>
                </c:pt>
                <c:pt idx="71">
                  <c:v>5.4168526305824303</c:v>
                </c:pt>
                <c:pt idx="72">
                  <c:v>5.5016788015353342</c:v>
                </c:pt>
                <c:pt idx="73">
                  <c:v>5.5867455014138576</c:v>
                </c:pt>
                <c:pt idx="74">
                  <c:v>5.6720527302180015</c:v>
                </c:pt>
                <c:pt idx="75">
                  <c:v>5.7576004879477658</c:v>
                </c:pt>
                <c:pt idx="76">
                  <c:v>5.8433887746031505</c:v>
                </c:pt>
                <c:pt idx="77">
                  <c:v>5.929417590184153</c:v>
                </c:pt>
                <c:pt idx="78">
                  <c:v>6.015686934690776</c:v>
                </c:pt>
                <c:pt idx="79">
                  <c:v>6.1021968081230185</c:v>
                </c:pt>
                <c:pt idx="80">
                  <c:v>6.1889472104808814</c:v>
                </c:pt>
                <c:pt idx="81">
                  <c:v>6.2759381417643638</c:v>
                </c:pt>
                <c:pt idx="82">
                  <c:v>6.3631696019734676</c:v>
                </c:pt>
                <c:pt idx="83">
                  <c:v>6.4506415911081891</c:v>
                </c:pt>
                <c:pt idx="84">
                  <c:v>6.5383541091685293</c:v>
                </c:pt>
                <c:pt idx="85">
                  <c:v>6.6263071561544926</c:v>
                </c:pt>
                <c:pt idx="86">
                  <c:v>6.7145007320660746</c:v>
                </c:pt>
                <c:pt idx="87">
                  <c:v>6.8029348369032761</c:v>
                </c:pt>
                <c:pt idx="88">
                  <c:v>6.8916094706660989</c:v>
                </c:pt>
                <c:pt idx="89">
                  <c:v>6.9805246333545394</c:v>
                </c:pt>
                <c:pt idx="90">
                  <c:v>7.0696803249685995</c:v>
                </c:pt>
                <c:pt idx="91">
                  <c:v>7.159076545508281</c:v>
                </c:pt>
                <c:pt idx="92">
                  <c:v>7.2487132949735829</c:v>
                </c:pt>
                <c:pt idx="93">
                  <c:v>7.3385905733645025</c:v>
                </c:pt>
                <c:pt idx="94">
                  <c:v>7.4287083806810434</c:v>
                </c:pt>
                <c:pt idx="95">
                  <c:v>7.5190667169232048</c:v>
                </c:pt>
                <c:pt idx="96">
                  <c:v>7.6096655820909831</c:v>
                </c:pt>
                <c:pt idx="97">
                  <c:v>7.7005049761843836</c:v>
                </c:pt>
                <c:pt idx="98">
                  <c:v>7.7915848992034027</c:v>
                </c:pt>
                <c:pt idx="99">
                  <c:v>7.8829053511480423</c:v>
                </c:pt>
                <c:pt idx="100">
                  <c:v>7.9744663320183022</c:v>
                </c:pt>
                <c:pt idx="101">
                  <c:v>8.0662678418141844</c:v>
                </c:pt>
                <c:pt idx="102">
                  <c:v>8.1583098805356826</c:v>
                </c:pt>
                <c:pt idx="103">
                  <c:v>8.2505924481828004</c:v>
                </c:pt>
                <c:pt idx="104">
                  <c:v>8.3431155447555412</c:v>
                </c:pt>
                <c:pt idx="105">
                  <c:v>8.435879170253898</c:v>
                </c:pt>
                <c:pt idx="106">
                  <c:v>8.5288833246778761</c:v>
                </c:pt>
                <c:pt idx="107">
                  <c:v>8.6221280080274738</c:v>
                </c:pt>
                <c:pt idx="108">
                  <c:v>8.7156132203026928</c:v>
                </c:pt>
                <c:pt idx="109">
                  <c:v>8.8093389615035314</c:v>
                </c:pt>
                <c:pt idx="110">
                  <c:v>8.9033052316299894</c:v>
                </c:pt>
                <c:pt idx="111">
                  <c:v>8.9975120306820671</c:v>
                </c:pt>
                <c:pt idx="112">
                  <c:v>9.091959358659766</c:v>
                </c:pt>
                <c:pt idx="113">
                  <c:v>9.1866472155630809</c:v>
                </c:pt>
                <c:pt idx="114">
                  <c:v>9.2815756013920208</c:v>
                </c:pt>
                <c:pt idx="115">
                  <c:v>9.3767445161465766</c:v>
                </c:pt>
                <c:pt idx="116">
                  <c:v>9.4721539598267501</c:v>
                </c:pt>
                <c:pt idx="117">
                  <c:v>9.5678039324325486</c:v>
                </c:pt>
                <c:pt idx="118">
                  <c:v>9.6636944339639648</c:v>
                </c:pt>
                <c:pt idx="119">
                  <c:v>9.7598254644210023</c:v>
                </c:pt>
                <c:pt idx="120">
                  <c:v>9.8561970238036576</c:v>
                </c:pt>
                <c:pt idx="121">
                  <c:v>9.9528091121119324</c:v>
                </c:pt>
                <c:pt idx="122">
                  <c:v>10.049661729345829</c:v>
                </c:pt>
                <c:pt idx="123">
                  <c:v>10.146754875505344</c:v>
                </c:pt>
                <c:pt idx="124">
                  <c:v>10.244088550590483</c:v>
                </c:pt>
                <c:pt idx="125">
                  <c:v>10.341662754601234</c:v>
                </c:pt>
                <c:pt idx="126">
                  <c:v>10.439477487537612</c:v>
                </c:pt>
                <c:pt idx="127">
                  <c:v>10.537532749399606</c:v>
                </c:pt>
                <c:pt idx="128">
                  <c:v>10.635828540187221</c:v>
                </c:pt>
                <c:pt idx="129">
                  <c:v>10.734364859900456</c:v>
                </c:pt>
                <c:pt idx="130">
                  <c:v>10.833141708539308</c:v>
                </c:pt>
                <c:pt idx="131">
                  <c:v>10.932159086103784</c:v>
                </c:pt>
                <c:pt idx="132">
                  <c:v>11.031416992593879</c:v>
                </c:pt>
                <c:pt idx="133">
                  <c:v>11.130915428009592</c:v>
                </c:pt>
                <c:pt idx="134">
                  <c:v>11.230654392350926</c:v>
                </c:pt>
                <c:pt idx="135">
                  <c:v>11.33063388561788</c:v>
                </c:pt>
                <c:pt idx="136">
                  <c:v>11.430853907810455</c:v>
                </c:pt>
                <c:pt idx="137">
                  <c:v>11.531314458928648</c:v>
                </c:pt>
                <c:pt idx="138">
                  <c:v>11.63201553897246</c:v>
                </c:pt>
                <c:pt idx="139">
                  <c:v>11.732957147941896</c:v>
                </c:pt>
                <c:pt idx="140">
                  <c:v>11.834139285836947</c:v>
                </c:pt>
                <c:pt idx="141">
                  <c:v>11.93556195265762</c:v>
                </c:pt>
                <c:pt idx="142">
                  <c:v>12.037225148403911</c:v>
                </c:pt>
                <c:pt idx="143">
                  <c:v>12.139128873075824</c:v>
                </c:pt>
                <c:pt idx="144">
                  <c:v>12.241273126673356</c:v>
                </c:pt>
                <c:pt idx="145">
                  <c:v>12.343657909196509</c:v>
                </c:pt>
                <c:pt idx="146">
                  <c:v>12.446283220645279</c:v>
                </c:pt>
                <c:pt idx="147">
                  <c:v>12.549149061019673</c:v>
                </c:pt>
                <c:pt idx="148">
                  <c:v>12.652255430319682</c:v>
                </c:pt>
                <c:pt idx="149">
                  <c:v>12.755602328545315</c:v>
                </c:pt>
                <c:pt idx="150">
                  <c:v>12.859189755696566</c:v>
                </c:pt>
              </c:numCache>
            </c:numRef>
          </c:yVal>
          <c:smooth val="1"/>
          <c:extLst>
            <c:ext xmlns:c16="http://schemas.microsoft.com/office/drawing/2014/chart" uri="{C3380CC4-5D6E-409C-BE32-E72D297353CC}">
              <c16:uniqueId val="{00000001-7DAF-432D-B540-E0424C156B7E}"/>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3.727916973194078E-2</c:v>
                </c:pt>
                <c:pt idx="1">
                  <c:v>3.96448424592135E-2</c:v>
                </c:pt>
                <c:pt idx="2">
                  <c:v>4.2072769731940775E-2</c:v>
                </c:pt>
                <c:pt idx="3">
                  <c:v>4.456295155012259E-2</c:v>
                </c:pt>
                <c:pt idx="4">
                  <c:v>4.7115387913758959E-2</c:v>
                </c:pt>
                <c:pt idx="5">
                  <c:v>4.9730078822849869E-2</c:v>
                </c:pt>
                <c:pt idx="6">
                  <c:v>5.2407024277395325E-2</c:v>
                </c:pt>
                <c:pt idx="7">
                  <c:v>5.5146224277395323E-2</c:v>
                </c:pt>
                <c:pt idx="8">
                  <c:v>5.7947678822849867E-2</c:v>
                </c:pt>
                <c:pt idx="9">
                  <c:v>6.0811387913758959E-2</c:v>
                </c:pt>
                <c:pt idx="10">
                  <c:v>6.3737351550122598E-2</c:v>
                </c:pt>
                <c:pt idx="11">
                  <c:v>6.6725569731940784E-2</c:v>
                </c:pt>
                <c:pt idx="12">
                  <c:v>6.9776042459213511E-2</c:v>
                </c:pt>
                <c:pt idx="13">
                  <c:v>7.2888769731940778E-2</c:v>
                </c:pt>
                <c:pt idx="14">
                  <c:v>7.6063751550122613E-2</c:v>
                </c:pt>
                <c:pt idx="15">
                  <c:v>7.9300987913758975E-2</c:v>
                </c:pt>
                <c:pt idx="16">
                  <c:v>8.2600478822849877E-2</c:v>
                </c:pt>
                <c:pt idx="17">
                  <c:v>8.5962224277395347E-2</c:v>
                </c:pt>
                <c:pt idx="18">
                  <c:v>8.9386224277395315E-2</c:v>
                </c:pt>
                <c:pt idx="19">
                  <c:v>9.287247882284988E-2</c:v>
                </c:pt>
                <c:pt idx="20">
                  <c:v>9.6420987913758957E-2</c:v>
                </c:pt>
                <c:pt idx="21">
                  <c:v>0.10003175155012259</c:v>
                </c:pt>
                <c:pt idx="22">
                  <c:v>0.10370476973194079</c:v>
                </c:pt>
                <c:pt idx="23">
                  <c:v>0.1074400424592135</c:v>
                </c:pt>
                <c:pt idx="24">
                  <c:v>0.11123756973194079</c:v>
                </c:pt>
                <c:pt idx="25">
                  <c:v>0.11509735155012259</c:v>
                </c:pt>
                <c:pt idx="26">
                  <c:v>0.11901938791375896</c:v>
                </c:pt>
                <c:pt idx="27">
                  <c:v>0.12300367882284989</c:v>
                </c:pt>
                <c:pt idx="28">
                  <c:v>0.12705022427739537</c:v>
                </c:pt>
                <c:pt idx="29">
                  <c:v>0.13115902427739531</c:v>
                </c:pt>
                <c:pt idx="30">
                  <c:v>0.13533007882284989</c:v>
                </c:pt>
                <c:pt idx="31">
                  <c:v>0.13956338791375894</c:v>
                </c:pt>
                <c:pt idx="32">
                  <c:v>0.14385895155012263</c:v>
                </c:pt>
                <c:pt idx="33">
                  <c:v>0.14821676973194081</c:v>
                </c:pt>
                <c:pt idx="34">
                  <c:v>0.1526368424592135</c:v>
                </c:pt>
                <c:pt idx="35">
                  <c:v>0.15711916973194079</c:v>
                </c:pt>
                <c:pt idx="36">
                  <c:v>0.16166375155012261</c:v>
                </c:pt>
                <c:pt idx="37">
                  <c:v>0.16627058791375893</c:v>
                </c:pt>
                <c:pt idx="38">
                  <c:v>0.17093967882284991</c:v>
                </c:pt>
                <c:pt idx="39">
                  <c:v>0.17567102427739534</c:v>
                </c:pt>
                <c:pt idx="40">
                  <c:v>0.18046462427739537</c:v>
                </c:pt>
                <c:pt idx="41">
                  <c:v>0.18532047882284991</c:v>
                </c:pt>
                <c:pt idx="42">
                  <c:v>0.19023858791375892</c:v>
                </c:pt>
                <c:pt idx="43">
                  <c:v>0.19521895155012256</c:v>
                </c:pt>
                <c:pt idx="44">
                  <c:v>0.20026156973194081</c:v>
                </c:pt>
                <c:pt idx="45">
                  <c:v>0.20536644245921354</c:v>
                </c:pt>
                <c:pt idx="46">
                  <c:v>0.21053356973194076</c:v>
                </c:pt>
                <c:pt idx="47">
                  <c:v>0.21576295155012259</c:v>
                </c:pt>
                <c:pt idx="48">
                  <c:v>0.22105458791375895</c:v>
                </c:pt>
                <c:pt idx="49">
                  <c:v>0.2264084788228499</c:v>
                </c:pt>
                <c:pt idx="50">
                  <c:v>0.23182462427739531</c:v>
                </c:pt>
                <c:pt idx="51">
                  <c:v>0.2373030242773953</c:v>
                </c:pt>
                <c:pt idx="52">
                  <c:v>0.24284367882284988</c:v>
                </c:pt>
                <c:pt idx="53">
                  <c:v>0.24844658791375895</c:v>
                </c:pt>
                <c:pt idx="54">
                  <c:v>0.25411175155012256</c:v>
                </c:pt>
                <c:pt idx="55">
                  <c:v>0.25983916973194082</c:v>
                </c:pt>
                <c:pt idx="56">
                  <c:v>0.26562884245921353</c:v>
                </c:pt>
                <c:pt idx="57">
                  <c:v>0.27148076973194085</c:v>
                </c:pt>
                <c:pt idx="58">
                  <c:v>0.27739495155012261</c:v>
                </c:pt>
                <c:pt idx="59">
                  <c:v>0.28337138791375888</c:v>
                </c:pt>
                <c:pt idx="60">
                  <c:v>0.28941007882284991</c:v>
                </c:pt>
                <c:pt idx="61">
                  <c:v>0.29551102427739534</c:v>
                </c:pt>
                <c:pt idx="62">
                  <c:v>0.30167422427739538</c:v>
                </c:pt>
                <c:pt idx="63">
                  <c:v>0.30789967882284985</c:v>
                </c:pt>
                <c:pt idx="64">
                  <c:v>0.314187387913759</c:v>
                </c:pt>
                <c:pt idx="65">
                  <c:v>0.32053735155012258</c:v>
                </c:pt>
                <c:pt idx="66">
                  <c:v>0.32694956973194084</c:v>
                </c:pt>
                <c:pt idx="67">
                  <c:v>0.33342404245921342</c:v>
                </c:pt>
                <c:pt idx="68">
                  <c:v>0.33996076973194084</c:v>
                </c:pt>
                <c:pt idx="69">
                  <c:v>0.34655975155012264</c:v>
                </c:pt>
                <c:pt idx="70">
                  <c:v>0.35322098791375905</c:v>
                </c:pt>
                <c:pt idx="71">
                  <c:v>0.35994447882284986</c:v>
                </c:pt>
                <c:pt idx="72">
                  <c:v>0.36673022427739532</c:v>
                </c:pt>
                <c:pt idx="73">
                  <c:v>0.3735782242773954</c:v>
                </c:pt>
                <c:pt idx="74">
                  <c:v>0.38048847882284981</c:v>
                </c:pt>
                <c:pt idx="75">
                  <c:v>0.38746098791375905</c:v>
                </c:pt>
                <c:pt idx="76">
                  <c:v>0.39449575155012273</c:v>
                </c:pt>
                <c:pt idx="77">
                  <c:v>0.4015927697319408</c:v>
                </c:pt>
                <c:pt idx="78">
                  <c:v>0.40875204245921359</c:v>
                </c:pt>
                <c:pt idx="79">
                  <c:v>0.41597356973194088</c:v>
                </c:pt>
                <c:pt idx="80">
                  <c:v>0.42325735155012273</c:v>
                </c:pt>
                <c:pt idx="81">
                  <c:v>0.43060338791375896</c:v>
                </c:pt>
                <c:pt idx="82">
                  <c:v>0.43801167882285003</c:v>
                </c:pt>
                <c:pt idx="83">
                  <c:v>0.44548222427739537</c:v>
                </c:pt>
                <c:pt idx="84">
                  <c:v>0.45301502427739515</c:v>
                </c:pt>
                <c:pt idx="85">
                  <c:v>0.46061007882284982</c:v>
                </c:pt>
                <c:pt idx="86">
                  <c:v>0.46826738791375899</c:v>
                </c:pt>
                <c:pt idx="87">
                  <c:v>0.47598695155012261</c:v>
                </c:pt>
                <c:pt idx="88">
                  <c:v>0.48376876973194094</c:v>
                </c:pt>
                <c:pt idx="89">
                  <c:v>0.49161284245921366</c:v>
                </c:pt>
                <c:pt idx="90">
                  <c:v>0.49951916973194077</c:v>
                </c:pt>
                <c:pt idx="91">
                  <c:v>0.5074877515501226</c:v>
                </c:pt>
                <c:pt idx="92">
                  <c:v>0.51551858791375904</c:v>
                </c:pt>
                <c:pt idx="93">
                  <c:v>0.52361167882284998</c:v>
                </c:pt>
                <c:pt idx="94">
                  <c:v>0.53176702427739553</c:v>
                </c:pt>
                <c:pt idx="95">
                  <c:v>0.53998462427739535</c:v>
                </c:pt>
                <c:pt idx="96">
                  <c:v>0.5482644788228499</c:v>
                </c:pt>
                <c:pt idx="97">
                  <c:v>0.55660658791375905</c:v>
                </c:pt>
                <c:pt idx="98">
                  <c:v>0.56501095155012271</c:v>
                </c:pt>
                <c:pt idx="99">
                  <c:v>0.57347756973194075</c:v>
                </c:pt>
                <c:pt idx="100">
                  <c:v>0.58200644245921351</c:v>
                </c:pt>
                <c:pt idx="101">
                  <c:v>0.59059756973194077</c:v>
                </c:pt>
                <c:pt idx="102">
                  <c:v>0.59925095155012253</c:v>
                </c:pt>
                <c:pt idx="103">
                  <c:v>0.60796658791375902</c:v>
                </c:pt>
                <c:pt idx="104">
                  <c:v>0.61674447882285</c:v>
                </c:pt>
                <c:pt idx="105">
                  <c:v>0.62558462427739536</c:v>
                </c:pt>
                <c:pt idx="106">
                  <c:v>0.63448702427739523</c:v>
                </c:pt>
                <c:pt idx="107">
                  <c:v>0.64345167882284982</c:v>
                </c:pt>
                <c:pt idx="108">
                  <c:v>0.6524785879137589</c:v>
                </c:pt>
                <c:pt idx="109">
                  <c:v>0.6615677515501226</c:v>
                </c:pt>
                <c:pt idx="110">
                  <c:v>0.67071916973194079</c:v>
                </c:pt>
                <c:pt idx="111">
                  <c:v>0.6799328424592137</c:v>
                </c:pt>
                <c:pt idx="112">
                  <c:v>0.68920876973194112</c:v>
                </c:pt>
                <c:pt idx="113">
                  <c:v>0.6985469515501227</c:v>
                </c:pt>
                <c:pt idx="114">
                  <c:v>0.70794738791375922</c:v>
                </c:pt>
                <c:pt idx="115">
                  <c:v>0.71741007882284991</c:v>
                </c:pt>
                <c:pt idx="116">
                  <c:v>0.72693502427739531</c:v>
                </c:pt>
                <c:pt idx="117">
                  <c:v>0.73652222427739533</c:v>
                </c:pt>
                <c:pt idx="118">
                  <c:v>0.74617167882284974</c:v>
                </c:pt>
                <c:pt idx="119">
                  <c:v>0.75588338791375898</c:v>
                </c:pt>
                <c:pt idx="120">
                  <c:v>0.7656573515501226</c:v>
                </c:pt>
                <c:pt idx="121">
                  <c:v>0.77549356973194072</c:v>
                </c:pt>
                <c:pt idx="122">
                  <c:v>0.78539204245921357</c:v>
                </c:pt>
                <c:pt idx="123">
                  <c:v>0.79535276973194047</c:v>
                </c:pt>
                <c:pt idx="124">
                  <c:v>0.80537575155012275</c:v>
                </c:pt>
                <c:pt idx="125">
                  <c:v>0.81546098791375887</c:v>
                </c:pt>
                <c:pt idx="126">
                  <c:v>0.82560847882284971</c:v>
                </c:pt>
                <c:pt idx="127">
                  <c:v>0.83581822427739572</c:v>
                </c:pt>
                <c:pt idx="128">
                  <c:v>0.84609022427739533</c:v>
                </c:pt>
                <c:pt idx="129">
                  <c:v>0.85642447882285</c:v>
                </c:pt>
                <c:pt idx="130">
                  <c:v>0.86682098791375894</c:v>
                </c:pt>
                <c:pt idx="131">
                  <c:v>0.87727975155012283</c:v>
                </c:pt>
                <c:pt idx="132">
                  <c:v>0.887800769731941</c:v>
                </c:pt>
                <c:pt idx="133">
                  <c:v>0.89838404245921366</c:v>
                </c:pt>
                <c:pt idx="134">
                  <c:v>0.90902956973194082</c:v>
                </c:pt>
                <c:pt idx="135">
                  <c:v>0.91973735155012271</c:v>
                </c:pt>
                <c:pt idx="136">
                  <c:v>0.93050738791375909</c:v>
                </c:pt>
                <c:pt idx="137">
                  <c:v>0.94133967882284986</c:v>
                </c:pt>
                <c:pt idx="138">
                  <c:v>0.95223422427739557</c:v>
                </c:pt>
                <c:pt idx="139">
                  <c:v>0.96319102427739556</c:v>
                </c:pt>
                <c:pt idx="140">
                  <c:v>0.97421007882285005</c:v>
                </c:pt>
                <c:pt idx="141">
                  <c:v>0.98529138791375903</c:v>
                </c:pt>
                <c:pt idx="142">
                  <c:v>0.99643495155012263</c:v>
                </c:pt>
                <c:pt idx="143">
                  <c:v>1.0076407697319405</c:v>
                </c:pt>
                <c:pt idx="144">
                  <c:v>1.0189088424592134</c:v>
                </c:pt>
                <c:pt idx="145">
                  <c:v>1.0302391697319409</c:v>
                </c:pt>
                <c:pt idx="146">
                  <c:v>1.0416317515501226</c:v>
                </c:pt>
                <c:pt idx="147">
                  <c:v>1.053086587913759</c:v>
                </c:pt>
                <c:pt idx="148">
                  <c:v>1.0646036788228499</c:v>
                </c:pt>
                <c:pt idx="149">
                  <c:v>1.0761830242773953</c:v>
                </c:pt>
                <c:pt idx="150">
                  <c:v>1.0878246242773955</c:v>
                </c:pt>
              </c:numCache>
            </c:numRef>
          </c:yVal>
          <c:smooth val="1"/>
          <c:extLst>
            <c:ext xmlns:c16="http://schemas.microsoft.com/office/drawing/2014/chart" uri="{C3380CC4-5D6E-409C-BE32-E72D297353CC}">
              <c16:uniqueId val="{00000002-7DAF-432D-B540-E0424C156B7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7DAF-432D-B540-E0424C156B7E}"/>
            </c:ext>
          </c:extLst>
        </c:ser>
        <c:dLbls>
          <c:showLegendKey val="0"/>
          <c:showVal val="0"/>
          <c:showCatName val="0"/>
          <c:showSerName val="0"/>
          <c:showPercent val="0"/>
          <c:showBubbleSize val="0"/>
        </c:dLbls>
        <c:axId val="522502144"/>
        <c:axId val="522491776"/>
      </c:scatterChart>
      <c:valAx>
        <c:axId val="522488064"/>
        <c:scaling>
          <c:orientation val="minMax"/>
        </c:scaling>
        <c:delete val="0"/>
        <c:axPos val="b"/>
        <c:majorGridlines/>
        <c:numFmt formatCode="General" sourceLinked="1"/>
        <c:majorTickMark val="out"/>
        <c:minorTickMark val="none"/>
        <c:tickLblPos val="nextTo"/>
        <c:crossAx val="522489856"/>
        <c:crosses val="autoZero"/>
        <c:crossBetween val="midCat"/>
      </c:valAx>
      <c:valAx>
        <c:axId val="52248985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22488064"/>
        <c:crosses val="autoZero"/>
        <c:crossBetween val="midCat"/>
      </c:valAx>
      <c:valAx>
        <c:axId val="52249177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22502144"/>
        <c:crosses val="max"/>
        <c:crossBetween val="midCat"/>
      </c:valAx>
      <c:valAx>
        <c:axId val="52250214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2249177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39.514690925509072</c:v>
                </c:pt>
                <c:pt idx="2">
                  <c:v>56.117775039292951</c:v>
                </c:pt>
                <c:pt idx="3">
                  <c:v>65.252581517022051</c:v>
                </c:pt>
                <c:pt idx="4">
                  <c:v>71.029504898022296</c:v>
                </c:pt>
                <c:pt idx="5">
                  <c:v>75.010165474990188</c:v>
                </c:pt>
                <c:pt idx="6">
                  <c:v>77.917817299594972</c:v>
                </c:pt>
                <c:pt idx="7">
                  <c:v>80.133377180741704</c:v>
                </c:pt>
                <c:pt idx="8">
                  <c:v>81.876540579915059</c:v>
                </c:pt>
                <c:pt idx="9">
                  <c:v>83.282915265419859</c:v>
                </c:pt>
                <c:pt idx="10">
                  <c:v>84.440738332544981</c:v>
                </c:pt>
                <c:pt idx="11">
                  <c:v>85.409899380681026</c:v>
                </c:pt>
                <c:pt idx="12">
                  <c:v>86.232478005946703</c:v>
                </c:pt>
                <c:pt idx="13">
                  <c:v>86.938906100073297</c:v>
                </c:pt>
                <c:pt idx="14">
                  <c:v>87.551737144091788</c:v>
                </c:pt>
                <c:pt idx="15">
                  <c:v>88.088040748716423</c:v>
                </c:pt>
                <c:pt idx="16">
                  <c:v>88.560973893791413</c:v>
                </c:pt>
                <c:pt idx="17">
                  <c:v>88.980841217120513</c:v>
                </c:pt>
                <c:pt idx="18">
                  <c:v>89.355828235000729</c:v>
                </c:pt>
                <c:pt idx="19">
                  <c:v>89.69251944511673</c:v>
                </c:pt>
                <c:pt idx="20">
                  <c:v>89.996271510808356</c:v>
                </c:pt>
                <c:pt idx="21">
                  <c:v>90.271486711353461</c:v>
                </c:pt>
                <c:pt idx="22">
                  <c:v>90.521816428615992</c:v>
                </c:pt>
                <c:pt idx="23">
                  <c:v>90.750314699910533</c:v>
                </c:pt>
                <c:pt idx="24">
                  <c:v>90.95955557090582</c:v>
                </c:pt>
                <c:pt idx="25">
                  <c:v>91.15172382861536</c:v>
                </c:pt>
                <c:pt idx="26">
                  <c:v>91.328685902602786</c:v>
                </c:pt>
                <c:pt idx="27">
                  <c:v>91.492045813793894</c:v>
                </c:pt>
                <c:pt idx="28">
                  <c:v>91.643189724850757</c:v>
                </c:pt>
                <c:pt idx="29">
                  <c:v>91.783321712371318</c:v>
                </c:pt>
                <c:pt idx="30">
                  <c:v>91.913492714673012</c:v>
                </c:pt>
                <c:pt idx="31">
                  <c:v>92.034624127263967</c:v>
                </c:pt>
                <c:pt idx="32">
                  <c:v>92.147527166041428</c:v>
                </c:pt>
                <c:pt idx="33">
                  <c:v>92.252918858165771</c:v>
                </c:pt>
                <c:pt idx="34">
                  <c:v>92.351435326499313</c:v>
                </c:pt>
                <c:pt idx="35">
                  <c:v>92.443642887352794</c:v>
                </c:pt>
                <c:pt idx="36">
                  <c:v>92.5300473702587</c:v>
                </c:pt>
                <c:pt idx="37">
                  <c:v>92.611101983453224</c:v>
                </c:pt>
                <c:pt idx="38">
                  <c:v>92.68721398311061</c:v>
                </c:pt>
                <c:pt idx="39">
                  <c:v>92.758750353340744</c:v>
                </c:pt>
                <c:pt idx="40">
                  <c:v>92.826042664006891</c:v>
                </c:pt>
                <c:pt idx="41">
                  <c:v>92.889391241938839</c:v>
                </c:pt>
                <c:pt idx="42">
                  <c:v>92.949068766154539</c:v>
                </c:pt>
                <c:pt idx="43">
                  <c:v>93.005323377795861</c:v>
                </c:pt>
                <c:pt idx="44">
                  <c:v>93.058381379518949</c:v>
                </c:pt>
                <c:pt idx="45">
                  <c:v>93.108449586206973</c:v>
                </c:pt>
                <c:pt idx="46">
                  <c:v>93.155717378442745</c:v>
                </c:pt>
                <c:pt idx="47">
                  <c:v>93.200358501685457</c:v>
                </c:pt>
                <c:pt idx="48">
                  <c:v>93.242532647148224</c:v>
                </c:pt>
                <c:pt idx="49">
                  <c:v>93.282386844665467</c:v>
                </c:pt>
                <c:pt idx="50">
                  <c:v>93.320056693129089</c:v>
                </c:pt>
                <c:pt idx="51">
                  <c:v>93.355667450171552</c:v>
                </c:pt>
                <c:pt idx="52">
                  <c:v>93.389334999528913</c:v>
                </c:pt>
                <c:pt idx="53">
                  <c:v>93.421166711808866</c:v>
                </c:pt>
                <c:pt idx="54">
                  <c:v>93.451262212120184</c:v>
                </c:pt>
                <c:pt idx="55">
                  <c:v>93.47971406611299</c:v>
                </c:pt>
                <c:pt idx="56">
                  <c:v>93.506608394370872</c:v>
                </c:pt>
                <c:pt idx="57">
                  <c:v>93.532025423735206</c:v>
                </c:pt>
                <c:pt idx="58">
                  <c:v>93.556039982987926</c:v>
                </c:pt>
                <c:pt idx="59">
                  <c:v>93.578721949335502</c:v>
                </c:pt>
                <c:pt idx="60">
                  <c:v>93.600136651298669</c:v>
                </c:pt>
                <c:pt idx="61">
                  <c:v>93.62034523289428</c:v>
                </c:pt>
                <c:pt idx="62">
                  <c:v>93.639404983379521</c:v>
                </c:pt>
                <c:pt idx="63">
                  <c:v>93.657369636298895</c:v>
                </c:pt>
                <c:pt idx="64">
                  <c:v>93.674289641116843</c:v>
                </c:pt>
                <c:pt idx="65">
                  <c:v>93.690212410324236</c:v>
                </c:pt>
                <c:pt idx="66">
                  <c:v>93.705182544563613</c:v>
                </c:pt>
                <c:pt idx="67">
                  <c:v>93.719242038021321</c:v>
                </c:pt>
                <c:pt idx="68">
                  <c:v>93.732430466075414</c:v>
                </c:pt>
                <c:pt idx="69">
                  <c:v>93.74478515696228</c:v>
                </c:pt>
                <c:pt idx="70">
                  <c:v>93.756341349027821</c:v>
                </c:pt>
                <c:pt idx="71">
                  <c:v>93.767132334955988</c:v>
                </c:pt>
                <c:pt idx="72">
                  <c:v>93.7771895942154</c:v>
                </c:pt>
                <c:pt idx="73">
                  <c:v>93.786542914832296</c:v>
                </c:pt>
                <c:pt idx="74">
                  <c:v>93.795220505479861</c:v>
                </c:pt>
                <c:pt idx="75">
                  <c:v>93.803249098770394</c:v>
                </c:pt>
                <c:pt idx="76">
                  <c:v>93.810654046545778</c:v>
                </c:pt>
                <c:pt idx="77">
                  <c:v>93.81745940787988</c:v>
                </c:pt>
                <c:pt idx="78">
                  <c:v>93.823688030435221</c:v>
                </c:pt>
                <c:pt idx="79">
                  <c:v>93.829361625752114</c:v>
                </c:pt>
                <c:pt idx="80">
                  <c:v>93.834500838991602</c:v>
                </c:pt>
                <c:pt idx="81">
                  <c:v>93.839125313603219</c:v>
                </c:pt>
                <c:pt idx="82">
                  <c:v>93.843253751343198</c:v>
                </c:pt>
                <c:pt idx="83">
                  <c:v>93.846903968028599</c:v>
                </c:pt>
                <c:pt idx="84">
                  <c:v>93.850092945376517</c:v>
                </c:pt>
                <c:pt idx="85">
                  <c:v>93.852836879245544</c:v>
                </c:pt>
                <c:pt idx="86">
                  <c:v>93.855151224567408</c:v>
                </c:pt>
                <c:pt idx="87">
                  <c:v>93.857050737230523</c:v>
                </c:pt>
                <c:pt idx="88">
                  <c:v>93.858549513154372</c:v>
                </c:pt>
                <c:pt idx="89">
                  <c:v>93.859661024771839</c:v>
                </c:pt>
                <c:pt idx="90">
                  <c:v>93.860398155117906</c:v>
                </c:pt>
                <c:pt idx="91">
                  <c:v>93.860773229706098</c:v>
                </c:pt>
                <c:pt idx="92">
                  <c:v>93.860798046358227</c:v>
                </c:pt>
                <c:pt idx="93">
                  <c:v>93.860483903139311</c:v>
                </c:pt>
                <c:pt idx="94">
                  <c:v>93.859841624536372</c:v>
                </c:pt>
                <c:pt idx="95">
                  <c:v>93.85888158600882</c:v>
                </c:pt>
                <c:pt idx="96">
                  <c:v>93.857613737027222</c:v>
                </c:pt>
                <c:pt idx="97">
                  <c:v>93.85604762270799</c:v>
                </c:pt>
                <c:pt idx="98">
                  <c:v>93.854192404142907</c:v>
                </c:pt>
                <c:pt idx="99">
                  <c:v>93.852056877514173</c:v>
                </c:pt>
                <c:pt idx="100">
                  <c:v>93.849649492079152</c:v>
                </c:pt>
                <c:pt idx="101">
                  <c:v>93.846978367101769</c:v>
                </c:pt>
                <c:pt idx="102">
                  <c:v>93.844051307801763</c:v>
                </c:pt>
                <c:pt idx="103">
                  <c:v>93.840875820388078</c:v>
                </c:pt>
                <c:pt idx="104">
                  <c:v>93.837459126236567</c:v>
                </c:pt>
                <c:pt idx="105">
                  <c:v>93.833808175268757</c:v>
                </c:pt>
                <c:pt idx="106">
                  <c:v>93.829929658583495</c:v>
                </c:pt>
                <c:pt idx="107">
                  <c:v>93.825830020389745</c:v>
                </c:pt>
                <c:pt idx="108">
                  <c:v>93.821515469285274</c:v>
                </c:pt>
                <c:pt idx="109">
                  <c:v>93.816991988922638</c:v>
                </c:pt>
                <c:pt idx="110">
                  <c:v>93.812265348100908</c:v>
                </c:pt>
                <c:pt idx="111">
                  <c:v>93.807341110319015</c:v>
                </c:pt>
                <c:pt idx="112">
                  <c:v>93.802224642823802</c:v>
                </c:pt>
                <c:pt idx="113">
                  <c:v>93.796921125183758</c:v>
                </c:pt>
                <c:pt idx="114">
                  <c:v>93.791435557417117</c:v>
                </c:pt>
                <c:pt idx="115">
                  <c:v>93.785772767701317</c:v>
                </c:pt>
                <c:pt idx="116">
                  <c:v>93.779937419688409</c:v>
                </c:pt>
                <c:pt idx="117">
                  <c:v>93.773934019450095</c:v>
                </c:pt>
                <c:pt idx="118">
                  <c:v>93.767766922073776</c:v>
                </c:pt>
                <c:pt idx="119">
                  <c:v>93.761440337930196</c:v>
                </c:pt>
                <c:pt idx="120">
                  <c:v>93.754958338631269</c:v>
                </c:pt>
                <c:pt idx="121">
                  <c:v>93.748324862696037</c:v>
                </c:pt>
                <c:pt idx="122">
                  <c:v>93.741543720941351</c:v>
                </c:pt>
                <c:pt idx="123">
                  <c:v>93.734618601612482</c:v>
                </c:pt>
                <c:pt idx="124">
                  <c:v>93.727553075268574</c:v>
                </c:pt>
                <c:pt idx="125">
                  <c:v>93.720350599436017</c:v>
                </c:pt>
                <c:pt idx="126">
                  <c:v>93.713014523042943</c:v>
                </c:pt>
                <c:pt idx="127">
                  <c:v>93.705548090646531</c:v>
                </c:pt>
                <c:pt idx="128">
                  <c:v>93.697954446464365</c:v>
                </c:pt>
                <c:pt idx="129">
                  <c:v>93.690236638220441</c:v>
                </c:pt>
                <c:pt idx="130">
                  <c:v>93.682397620815422</c:v>
                </c:pt>
                <c:pt idx="131">
                  <c:v>93.674440259830959</c:v>
                </c:pt>
                <c:pt idx="132">
                  <c:v>93.666367334876185</c:v>
                </c:pt>
                <c:pt idx="133">
                  <c:v>93.658181542784916</c:v>
                </c:pt>
                <c:pt idx="134">
                  <c:v>93.649885500671317</c:v>
                </c:pt>
                <c:pt idx="135">
                  <c:v>93.641481748851177</c:v>
                </c:pt>
                <c:pt idx="136">
                  <c:v>93.632972753635599</c:v>
                </c:pt>
                <c:pt idx="137">
                  <c:v>93.624360910003716</c:v>
                </c:pt>
                <c:pt idx="138">
                  <c:v>93.615648544160294</c:v>
                </c:pt>
                <c:pt idx="139">
                  <c:v>93.606837915984158</c:v>
                </c:pt>
                <c:pt idx="140">
                  <c:v>93.597931221372789</c:v>
                </c:pt>
                <c:pt idx="141">
                  <c:v>93.588930594488104</c:v>
                </c:pt>
                <c:pt idx="142">
                  <c:v>93.579838109908295</c:v>
                </c:pt>
                <c:pt idx="143">
                  <c:v>93.570655784690302</c:v>
                </c:pt>
                <c:pt idx="144">
                  <c:v>93.561385580347306</c:v>
                </c:pt>
                <c:pt idx="145">
                  <c:v>93.552029404745028</c:v>
                </c:pt>
                <c:pt idx="146">
                  <c:v>93.542589113920982</c:v>
                </c:pt>
                <c:pt idx="147">
                  <c:v>93.533066513830192</c:v>
                </c:pt>
                <c:pt idx="148">
                  <c:v>93.523463362020792</c:v>
                </c:pt>
                <c:pt idx="149">
                  <c:v>93.513781369242793</c:v>
                </c:pt>
                <c:pt idx="150">
                  <c:v>93.504022200993148</c:v>
                </c:pt>
              </c:numCache>
            </c:numRef>
          </c:yVal>
          <c:smooth val="0"/>
          <c:extLst>
            <c:ext xmlns:c16="http://schemas.microsoft.com/office/drawing/2014/chart" uri="{C3380CC4-5D6E-409C-BE32-E72D297353CC}">
              <c16:uniqueId val="{00000000-F850-4D08-8BFC-748D436DD73B}"/>
            </c:ext>
          </c:extLst>
        </c:ser>
        <c:dLbls>
          <c:showLegendKey val="0"/>
          <c:showVal val="0"/>
          <c:showCatName val="0"/>
          <c:showSerName val="0"/>
          <c:showPercent val="0"/>
          <c:showBubbleSize val="0"/>
        </c:dLbls>
        <c:axId val="224130176"/>
        <c:axId val="224131712"/>
      </c:scatterChart>
      <c:scatterChart>
        <c:scatterStyle val="smoothMarker"/>
        <c:varyColors val="0"/>
        <c:ser>
          <c:idx val="1"/>
          <c:order val="1"/>
          <c:tx>
            <c:v>MOSFET</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7.6735044044431697E-2</c:v>
                </c:pt>
                <c:pt idx="2">
                  <c:v>0.14472419020394739</c:v>
                </c:pt>
                <c:pt idx="3">
                  <c:v>0.21295386528908289</c:v>
                </c:pt>
                <c:pt idx="4">
                  <c:v>0.28142406929983826</c:v>
                </c:pt>
                <c:pt idx="5">
                  <c:v>0.3501348022362134</c:v>
                </c:pt>
                <c:pt idx="6">
                  <c:v>0.41908606409820842</c:v>
                </c:pt>
                <c:pt idx="7">
                  <c:v>0.48827785488582348</c:v>
                </c:pt>
                <c:pt idx="8">
                  <c:v>0.55771017459905803</c:v>
                </c:pt>
                <c:pt idx="9">
                  <c:v>0.62738302323791251</c:v>
                </c:pt>
                <c:pt idx="10">
                  <c:v>0.69729640080238686</c:v>
                </c:pt>
                <c:pt idx="11">
                  <c:v>0.7674503072924812</c:v>
                </c:pt>
                <c:pt idx="12">
                  <c:v>0.83784474270819509</c:v>
                </c:pt>
                <c:pt idx="13">
                  <c:v>0.90847970704952918</c:v>
                </c:pt>
                <c:pt idx="14">
                  <c:v>0.97935520031648293</c:v>
                </c:pt>
                <c:pt idx="15">
                  <c:v>1.0504712225090562</c:v>
                </c:pt>
                <c:pt idx="16">
                  <c:v>1.1218277736272497</c:v>
                </c:pt>
                <c:pt idx="17">
                  <c:v>1.193424853671063</c:v>
                </c:pt>
                <c:pt idx="18">
                  <c:v>1.2652624626404958</c:v>
                </c:pt>
                <c:pt idx="19">
                  <c:v>1.337340600535549</c:v>
                </c:pt>
                <c:pt idx="20">
                  <c:v>1.4096592673562214</c:v>
                </c:pt>
                <c:pt idx="21">
                  <c:v>1.4822184631025137</c:v>
                </c:pt>
                <c:pt idx="22">
                  <c:v>1.5550181877744265</c:v>
                </c:pt>
                <c:pt idx="23">
                  <c:v>1.6280584413719588</c:v>
                </c:pt>
                <c:pt idx="24">
                  <c:v>1.7013392238951106</c:v>
                </c:pt>
                <c:pt idx="25">
                  <c:v>1.7748605353438824</c:v>
                </c:pt>
                <c:pt idx="26">
                  <c:v>1.8486223757182745</c:v>
                </c:pt>
                <c:pt idx="27">
                  <c:v>1.9226247450182858</c:v>
                </c:pt>
                <c:pt idx="28">
                  <c:v>1.9968676432439179</c:v>
                </c:pt>
                <c:pt idx="29">
                  <c:v>2.0713510703951683</c:v>
                </c:pt>
                <c:pt idx="30">
                  <c:v>2.1460750264720394</c:v>
                </c:pt>
                <c:pt idx="31">
                  <c:v>2.2210395114745305</c:v>
                </c:pt>
                <c:pt idx="32">
                  <c:v>2.2962445254026411</c:v>
                </c:pt>
                <c:pt idx="33">
                  <c:v>2.3716900682563713</c:v>
                </c:pt>
                <c:pt idx="34">
                  <c:v>2.4473761400357223</c:v>
                </c:pt>
                <c:pt idx="35">
                  <c:v>2.5233027407406925</c:v>
                </c:pt>
                <c:pt idx="36">
                  <c:v>2.5994698703712822</c:v>
                </c:pt>
                <c:pt idx="37">
                  <c:v>2.6758775289274919</c:v>
                </c:pt>
                <c:pt idx="38">
                  <c:v>2.7525257164093224</c:v>
                </c:pt>
                <c:pt idx="39">
                  <c:v>2.8294144328167716</c:v>
                </c:pt>
                <c:pt idx="40">
                  <c:v>2.9065436781498408</c:v>
                </c:pt>
                <c:pt idx="41">
                  <c:v>2.9839134524085309</c:v>
                </c:pt>
                <c:pt idx="42">
                  <c:v>3.0615237555928387</c:v>
                </c:pt>
                <c:pt idx="43">
                  <c:v>3.1393745877027683</c:v>
                </c:pt>
                <c:pt idx="44">
                  <c:v>3.217465948738317</c:v>
                </c:pt>
                <c:pt idx="45">
                  <c:v>3.2957978386994853</c:v>
                </c:pt>
                <c:pt idx="46">
                  <c:v>3.374370257586274</c:v>
                </c:pt>
                <c:pt idx="47">
                  <c:v>3.4531832053986822</c:v>
                </c:pt>
                <c:pt idx="48">
                  <c:v>3.5322366821367099</c:v>
                </c:pt>
                <c:pt idx="49">
                  <c:v>3.6115306878003577</c:v>
                </c:pt>
                <c:pt idx="50">
                  <c:v>3.6910652223896254</c:v>
                </c:pt>
                <c:pt idx="51">
                  <c:v>3.770840285904514</c:v>
                </c:pt>
                <c:pt idx="52">
                  <c:v>3.8508558783450217</c:v>
                </c:pt>
                <c:pt idx="53">
                  <c:v>3.9311119997111481</c:v>
                </c:pt>
                <c:pt idx="54">
                  <c:v>4.0116086500028958</c:v>
                </c:pt>
                <c:pt idx="55">
                  <c:v>4.0923458292202621</c:v>
                </c:pt>
                <c:pt idx="56">
                  <c:v>4.1733235373632498</c:v>
                </c:pt>
                <c:pt idx="57">
                  <c:v>4.2545417744318561</c:v>
                </c:pt>
                <c:pt idx="58">
                  <c:v>4.336000540426082</c:v>
                </c:pt>
                <c:pt idx="59">
                  <c:v>4.4176998353459282</c:v>
                </c:pt>
                <c:pt idx="60">
                  <c:v>4.499639659191395</c:v>
                </c:pt>
                <c:pt idx="61">
                  <c:v>4.5818200119624795</c:v>
                </c:pt>
                <c:pt idx="62">
                  <c:v>4.6642408936591861</c:v>
                </c:pt>
                <c:pt idx="63">
                  <c:v>4.7469023042815124</c:v>
                </c:pt>
                <c:pt idx="64">
                  <c:v>4.8298042438294573</c:v>
                </c:pt>
                <c:pt idx="65">
                  <c:v>4.9129467123030217</c:v>
                </c:pt>
                <c:pt idx="66">
                  <c:v>4.9963297097022075</c:v>
                </c:pt>
                <c:pt idx="67">
                  <c:v>5.0799532360270119</c:v>
                </c:pt>
                <c:pt idx="68">
                  <c:v>5.1638172912774376</c:v>
                </c:pt>
                <c:pt idx="69">
                  <c:v>5.247921875453482</c:v>
                </c:pt>
                <c:pt idx="70">
                  <c:v>5.3322669885551468</c:v>
                </c:pt>
                <c:pt idx="71">
                  <c:v>5.4168526305824303</c:v>
                </c:pt>
                <c:pt idx="72">
                  <c:v>5.5016788015353342</c:v>
                </c:pt>
                <c:pt idx="73">
                  <c:v>5.5867455014138576</c:v>
                </c:pt>
                <c:pt idx="74">
                  <c:v>5.6720527302180015</c:v>
                </c:pt>
                <c:pt idx="75">
                  <c:v>5.7576004879477658</c:v>
                </c:pt>
                <c:pt idx="76">
                  <c:v>5.8433887746031505</c:v>
                </c:pt>
                <c:pt idx="77">
                  <c:v>5.929417590184153</c:v>
                </c:pt>
                <c:pt idx="78">
                  <c:v>6.015686934690776</c:v>
                </c:pt>
                <c:pt idx="79">
                  <c:v>6.1021968081230185</c:v>
                </c:pt>
                <c:pt idx="80">
                  <c:v>6.1889472104808814</c:v>
                </c:pt>
                <c:pt idx="81">
                  <c:v>6.2759381417643638</c:v>
                </c:pt>
                <c:pt idx="82">
                  <c:v>6.3631696019734676</c:v>
                </c:pt>
                <c:pt idx="83">
                  <c:v>6.4506415911081891</c:v>
                </c:pt>
                <c:pt idx="84">
                  <c:v>6.5383541091685293</c:v>
                </c:pt>
                <c:pt idx="85">
                  <c:v>6.6263071561544926</c:v>
                </c:pt>
                <c:pt idx="86">
                  <c:v>6.7145007320660746</c:v>
                </c:pt>
                <c:pt idx="87">
                  <c:v>6.8029348369032761</c:v>
                </c:pt>
                <c:pt idx="88">
                  <c:v>6.8916094706660989</c:v>
                </c:pt>
                <c:pt idx="89">
                  <c:v>6.9805246333545394</c:v>
                </c:pt>
                <c:pt idx="90">
                  <c:v>7.0696803249685995</c:v>
                </c:pt>
                <c:pt idx="91">
                  <c:v>7.159076545508281</c:v>
                </c:pt>
                <c:pt idx="92">
                  <c:v>7.2487132949735829</c:v>
                </c:pt>
                <c:pt idx="93">
                  <c:v>7.3385905733645025</c:v>
                </c:pt>
                <c:pt idx="94">
                  <c:v>7.4287083806810434</c:v>
                </c:pt>
                <c:pt idx="95">
                  <c:v>7.5190667169232048</c:v>
                </c:pt>
                <c:pt idx="96">
                  <c:v>7.6096655820909831</c:v>
                </c:pt>
                <c:pt idx="97">
                  <c:v>7.7005049761843836</c:v>
                </c:pt>
                <c:pt idx="98">
                  <c:v>7.7915848992034027</c:v>
                </c:pt>
                <c:pt idx="99">
                  <c:v>7.8829053511480423</c:v>
                </c:pt>
                <c:pt idx="100">
                  <c:v>7.9744663320183022</c:v>
                </c:pt>
                <c:pt idx="101">
                  <c:v>8.0662678418141844</c:v>
                </c:pt>
                <c:pt idx="102">
                  <c:v>8.1583098805356826</c:v>
                </c:pt>
                <c:pt idx="103">
                  <c:v>8.2505924481828004</c:v>
                </c:pt>
                <c:pt idx="104">
                  <c:v>8.3431155447555412</c:v>
                </c:pt>
                <c:pt idx="105">
                  <c:v>8.435879170253898</c:v>
                </c:pt>
                <c:pt idx="106">
                  <c:v>8.5288833246778761</c:v>
                </c:pt>
                <c:pt idx="107">
                  <c:v>8.6221280080274738</c:v>
                </c:pt>
                <c:pt idx="108">
                  <c:v>8.7156132203026928</c:v>
                </c:pt>
                <c:pt idx="109">
                  <c:v>8.8093389615035314</c:v>
                </c:pt>
                <c:pt idx="110">
                  <c:v>8.9033052316299894</c:v>
                </c:pt>
                <c:pt idx="111">
                  <c:v>8.9975120306820671</c:v>
                </c:pt>
                <c:pt idx="112">
                  <c:v>9.091959358659766</c:v>
                </c:pt>
                <c:pt idx="113">
                  <c:v>9.1866472155630809</c:v>
                </c:pt>
                <c:pt idx="114">
                  <c:v>9.2815756013920208</c:v>
                </c:pt>
                <c:pt idx="115">
                  <c:v>9.3767445161465766</c:v>
                </c:pt>
                <c:pt idx="116">
                  <c:v>9.4721539598267501</c:v>
                </c:pt>
                <c:pt idx="117">
                  <c:v>9.5678039324325486</c:v>
                </c:pt>
                <c:pt idx="118">
                  <c:v>9.6636944339639648</c:v>
                </c:pt>
                <c:pt idx="119">
                  <c:v>9.7598254644210023</c:v>
                </c:pt>
                <c:pt idx="120">
                  <c:v>9.8561970238036576</c:v>
                </c:pt>
                <c:pt idx="121">
                  <c:v>9.9528091121119324</c:v>
                </c:pt>
                <c:pt idx="122">
                  <c:v>10.049661729345829</c:v>
                </c:pt>
                <c:pt idx="123">
                  <c:v>10.146754875505344</c:v>
                </c:pt>
                <c:pt idx="124">
                  <c:v>10.244088550590483</c:v>
                </c:pt>
                <c:pt idx="125">
                  <c:v>10.341662754601234</c:v>
                </c:pt>
                <c:pt idx="126">
                  <c:v>10.439477487537612</c:v>
                </c:pt>
                <c:pt idx="127">
                  <c:v>10.537532749399606</c:v>
                </c:pt>
                <c:pt idx="128">
                  <c:v>10.635828540187221</c:v>
                </c:pt>
                <c:pt idx="129">
                  <c:v>10.734364859900456</c:v>
                </c:pt>
                <c:pt idx="130">
                  <c:v>10.833141708539308</c:v>
                </c:pt>
                <c:pt idx="131">
                  <c:v>10.932159086103784</c:v>
                </c:pt>
                <c:pt idx="132">
                  <c:v>11.031416992593879</c:v>
                </c:pt>
                <c:pt idx="133">
                  <c:v>11.130915428009592</c:v>
                </c:pt>
                <c:pt idx="134">
                  <c:v>11.230654392350926</c:v>
                </c:pt>
                <c:pt idx="135">
                  <c:v>11.33063388561788</c:v>
                </c:pt>
                <c:pt idx="136">
                  <c:v>11.430853907810455</c:v>
                </c:pt>
                <c:pt idx="137">
                  <c:v>11.531314458928648</c:v>
                </c:pt>
                <c:pt idx="138">
                  <c:v>11.63201553897246</c:v>
                </c:pt>
                <c:pt idx="139">
                  <c:v>11.732957147941896</c:v>
                </c:pt>
                <c:pt idx="140">
                  <c:v>11.834139285836947</c:v>
                </c:pt>
                <c:pt idx="141">
                  <c:v>11.93556195265762</c:v>
                </c:pt>
                <c:pt idx="142">
                  <c:v>12.037225148403911</c:v>
                </c:pt>
                <c:pt idx="143">
                  <c:v>12.139128873075824</c:v>
                </c:pt>
                <c:pt idx="144">
                  <c:v>12.241273126673356</c:v>
                </c:pt>
                <c:pt idx="145">
                  <c:v>12.343657909196509</c:v>
                </c:pt>
                <c:pt idx="146">
                  <c:v>12.446283220645279</c:v>
                </c:pt>
                <c:pt idx="147">
                  <c:v>12.549149061019673</c:v>
                </c:pt>
                <c:pt idx="148">
                  <c:v>12.652255430319682</c:v>
                </c:pt>
                <c:pt idx="149">
                  <c:v>12.755602328545315</c:v>
                </c:pt>
                <c:pt idx="150">
                  <c:v>12.859189755696566</c:v>
                </c:pt>
              </c:numCache>
            </c:numRef>
          </c:yVal>
          <c:smooth val="1"/>
          <c:extLst>
            <c:ext xmlns:c16="http://schemas.microsoft.com/office/drawing/2014/chart" uri="{C3380CC4-5D6E-409C-BE32-E72D297353CC}">
              <c16:uniqueId val="{00000001-F850-4D08-8BFC-748D436DD73B}"/>
            </c:ext>
          </c:extLst>
        </c:ser>
        <c:ser>
          <c:idx val="2"/>
          <c:order val="2"/>
          <c:tx>
            <c:v>Diode</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3.727916973194078E-2</c:v>
                </c:pt>
                <c:pt idx="1">
                  <c:v>3.96448424592135E-2</c:v>
                </c:pt>
                <c:pt idx="2">
                  <c:v>4.2072769731940775E-2</c:v>
                </c:pt>
                <c:pt idx="3">
                  <c:v>4.456295155012259E-2</c:v>
                </c:pt>
                <c:pt idx="4">
                  <c:v>4.7115387913758959E-2</c:v>
                </c:pt>
                <c:pt idx="5">
                  <c:v>4.9730078822849869E-2</c:v>
                </c:pt>
                <c:pt idx="6">
                  <c:v>5.2407024277395325E-2</c:v>
                </c:pt>
                <c:pt idx="7">
                  <c:v>5.5146224277395323E-2</c:v>
                </c:pt>
                <c:pt idx="8">
                  <c:v>5.7947678822849867E-2</c:v>
                </c:pt>
                <c:pt idx="9">
                  <c:v>6.0811387913758959E-2</c:v>
                </c:pt>
                <c:pt idx="10">
                  <c:v>6.3737351550122598E-2</c:v>
                </c:pt>
                <c:pt idx="11">
                  <c:v>6.6725569731940784E-2</c:v>
                </c:pt>
                <c:pt idx="12">
                  <c:v>6.9776042459213511E-2</c:v>
                </c:pt>
                <c:pt idx="13">
                  <c:v>7.2888769731940778E-2</c:v>
                </c:pt>
                <c:pt idx="14">
                  <c:v>7.6063751550122613E-2</c:v>
                </c:pt>
                <c:pt idx="15">
                  <c:v>7.9300987913758975E-2</c:v>
                </c:pt>
                <c:pt idx="16">
                  <c:v>8.2600478822849877E-2</c:v>
                </c:pt>
                <c:pt idx="17">
                  <c:v>8.5962224277395347E-2</c:v>
                </c:pt>
                <c:pt idx="18">
                  <c:v>8.9386224277395315E-2</c:v>
                </c:pt>
                <c:pt idx="19">
                  <c:v>9.287247882284988E-2</c:v>
                </c:pt>
                <c:pt idx="20">
                  <c:v>9.6420987913758957E-2</c:v>
                </c:pt>
                <c:pt idx="21">
                  <c:v>0.10003175155012259</c:v>
                </c:pt>
                <c:pt idx="22">
                  <c:v>0.10370476973194079</c:v>
                </c:pt>
                <c:pt idx="23">
                  <c:v>0.1074400424592135</c:v>
                </c:pt>
                <c:pt idx="24">
                  <c:v>0.11123756973194079</c:v>
                </c:pt>
                <c:pt idx="25">
                  <c:v>0.11509735155012259</c:v>
                </c:pt>
                <c:pt idx="26">
                  <c:v>0.11901938791375896</c:v>
                </c:pt>
                <c:pt idx="27">
                  <c:v>0.12300367882284989</c:v>
                </c:pt>
                <c:pt idx="28">
                  <c:v>0.12705022427739537</c:v>
                </c:pt>
                <c:pt idx="29">
                  <c:v>0.13115902427739531</c:v>
                </c:pt>
                <c:pt idx="30">
                  <c:v>0.13533007882284989</c:v>
                </c:pt>
                <c:pt idx="31">
                  <c:v>0.13956338791375894</c:v>
                </c:pt>
                <c:pt idx="32">
                  <c:v>0.14385895155012263</c:v>
                </c:pt>
                <c:pt idx="33">
                  <c:v>0.14821676973194081</c:v>
                </c:pt>
                <c:pt idx="34">
                  <c:v>0.1526368424592135</c:v>
                </c:pt>
                <c:pt idx="35">
                  <c:v>0.15711916973194079</c:v>
                </c:pt>
                <c:pt idx="36">
                  <c:v>0.16166375155012261</c:v>
                </c:pt>
                <c:pt idx="37">
                  <c:v>0.16627058791375893</c:v>
                </c:pt>
                <c:pt idx="38">
                  <c:v>0.17093967882284991</c:v>
                </c:pt>
                <c:pt idx="39">
                  <c:v>0.17567102427739534</c:v>
                </c:pt>
                <c:pt idx="40">
                  <c:v>0.18046462427739537</c:v>
                </c:pt>
                <c:pt idx="41">
                  <c:v>0.18532047882284991</c:v>
                </c:pt>
                <c:pt idx="42">
                  <c:v>0.19023858791375892</c:v>
                </c:pt>
                <c:pt idx="43">
                  <c:v>0.19521895155012256</c:v>
                </c:pt>
                <c:pt idx="44">
                  <c:v>0.20026156973194081</c:v>
                </c:pt>
                <c:pt idx="45">
                  <c:v>0.20536644245921354</c:v>
                </c:pt>
                <c:pt idx="46">
                  <c:v>0.21053356973194076</c:v>
                </c:pt>
                <c:pt idx="47">
                  <c:v>0.21576295155012259</c:v>
                </c:pt>
                <c:pt idx="48">
                  <c:v>0.22105458791375895</c:v>
                </c:pt>
                <c:pt idx="49">
                  <c:v>0.2264084788228499</c:v>
                </c:pt>
                <c:pt idx="50">
                  <c:v>0.23182462427739531</c:v>
                </c:pt>
                <c:pt idx="51">
                  <c:v>0.2373030242773953</c:v>
                </c:pt>
                <c:pt idx="52">
                  <c:v>0.24284367882284988</c:v>
                </c:pt>
                <c:pt idx="53">
                  <c:v>0.24844658791375895</c:v>
                </c:pt>
                <c:pt idx="54">
                  <c:v>0.25411175155012256</c:v>
                </c:pt>
                <c:pt idx="55">
                  <c:v>0.25983916973194082</c:v>
                </c:pt>
                <c:pt idx="56">
                  <c:v>0.26562884245921353</c:v>
                </c:pt>
                <c:pt idx="57">
                  <c:v>0.27148076973194085</c:v>
                </c:pt>
                <c:pt idx="58">
                  <c:v>0.27739495155012261</c:v>
                </c:pt>
                <c:pt idx="59">
                  <c:v>0.28337138791375888</c:v>
                </c:pt>
                <c:pt idx="60">
                  <c:v>0.28941007882284991</c:v>
                </c:pt>
                <c:pt idx="61">
                  <c:v>0.29551102427739534</c:v>
                </c:pt>
                <c:pt idx="62">
                  <c:v>0.30167422427739538</c:v>
                </c:pt>
                <c:pt idx="63">
                  <c:v>0.30789967882284985</c:v>
                </c:pt>
                <c:pt idx="64">
                  <c:v>0.314187387913759</c:v>
                </c:pt>
                <c:pt idx="65">
                  <c:v>0.32053735155012258</c:v>
                </c:pt>
                <c:pt idx="66">
                  <c:v>0.32694956973194084</c:v>
                </c:pt>
                <c:pt idx="67">
                  <c:v>0.33342404245921342</c:v>
                </c:pt>
                <c:pt idx="68">
                  <c:v>0.33996076973194084</c:v>
                </c:pt>
                <c:pt idx="69">
                  <c:v>0.34655975155012264</c:v>
                </c:pt>
                <c:pt idx="70">
                  <c:v>0.35322098791375905</c:v>
                </c:pt>
                <c:pt idx="71">
                  <c:v>0.35994447882284986</c:v>
                </c:pt>
                <c:pt idx="72">
                  <c:v>0.36673022427739532</c:v>
                </c:pt>
                <c:pt idx="73">
                  <c:v>0.3735782242773954</c:v>
                </c:pt>
                <c:pt idx="74">
                  <c:v>0.38048847882284981</c:v>
                </c:pt>
                <c:pt idx="75">
                  <c:v>0.38746098791375905</c:v>
                </c:pt>
                <c:pt idx="76">
                  <c:v>0.39449575155012273</c:v>
                </c:pt>
                <c:pt idx="77">
                  <c:v>0.4015927697319408</c:v>
                </c:pt>
                <c:pt idx="78">
                  <c:v>0.40875204245921359</c:v>
                </c:pt>
                <c:pt idx="79">
                  <c:v>0.41597356973194088</c:v>
                </c:pt>
                <c:pt idx="80">
                  <c:v>0.42325735155012273</c:v>
                </c:pt>
                <c:pt idx="81">
                  <c:v>0.43060338791375896</c:v>
                </c:pt>
                <c:pt idx="82">
                  <c:v>0.43801167882285003</c:v>
                </c:pt>
                <c:pt idx="83">
                  <c:v>0.44548222427739537</c:v>
                </c:pt>
                <c:pt idx="84">
                  <c:v>0.45301502427739515</c:v>
                </c:pt>
                <c:pt idx="85">
                  <c:v>0.46061007882284982</c:v>
                </c:pt>
                <c:pt idx="86">
                  <c:v>0.46826738791375899</c:v>
                </c:pt>
                <c:pt idx="87">
                  <c:v>0.47598695155012261</c:v>
                </c:pt>
                <c:pt idx="88">
                  <c:v>0.48376876973194094</c:v>
                </c:pt>
                <c:pt idx="89">
                  <c:v>0.49161284245921366</c:v>
                </c:pt>
                <c:pt idx="90">
                  <c:v>0.49951916973194077</c:v>
                </c:pt>
                <c:pt idx="91">
                  <c:v>0.5074877515501226</c:v>
                </c:pt>
                <c:pt idx="92">
                  <c:v>0.51551858791375904</c:v>
                </c:pt>
                <c:pt idx="93">
                  <c:v>0.52361167882284998</c:v>
                </c:pt>
                <c:pt idx="94">
                  <c:v>0.53176702427739553</c:v>
                </c:pt>
                <c:pt idx="95">
                  <c:v>0.53998462427739535</c:v>
                </c:pt>
                <c:pt idx="96">
                  <c:v>0.5482644788228499</c:v>
                </c:pt>
                <c:pt idx="97">
                  <c:v>0.55660658791375905</c:v>
                </c:pt>
                <c:pt idx="98">
                  <c:v>0.56501095155012271</c:v>
                </c:pt>
                <c:pt idx="99">
                  <c:v>0.57347756973194075</c:v>
                </c:pt>
                <c:pt idx="100">
                  <c:v>0.58200644245921351</c:v>
                </c:pt>
                <c:pt idx="101">
                  <c:v>0.59059756973194077</c:v>
                </c:pt>
                <c:pt idx="102">
                  <c:v>0.59925095155012253</c:v>
                </c:pt>
                <c:pt idx="103">
                  <c:v>0.60796658791375902</c:v>
                </c:pt>
                <c:pt idx="104">
                  <c:v>0.61674447882285</c:v>
                </c:pt>
                <c:pt idx="105">
                  <c:v>0.62558462427739536</c:v>
                </c:pt>
                <c:pt idx="106">
                  <c:v>0.63448702427739523</c:v>
                </c:pt>
                <c:pt idx="107">
                  <c:v>0.64345167882284982</c:v>
                </c:pt>
                <c:pt idx="108">
                  <c:v>0.6524785879137589</c:v>
                </c:pt>
                <c:pt idx="109">
                  <c:v>0.6615677515501226</c:v>
                </c:pt>
                <c:pt idx="110">
                  <c:v>0.67071916973194079</c:v>
                </c:pt>
                <c:pt idx="111">
                  <c:v>0.6799328424592137</c:v>
                </c:pt>
                <c:pt idx="112">
                  <c:v>0.68920876973194112</c:v>
                </c:pt>
                <c:pt idx="113">
                  <c:v>0.6985469515501227</c:v>
                </c:pt>
                <c:pt idx="114">
                  <c:v>0.70794738791375922</c:v>
                </c:pt>
                <c:pt idx="115">
                  <c:v>0.71741007882284991</c:v>
                </c:pt>
                <c:pt idx="116">
                  <c:v>0.72693502427739531</c:v>
                </c:pt>
                <c:pt idx="117">
                  <c:v>0.73652222427739533</c:v>
                </c:pt>
                <c:pt idx="118">
                  <c:v>0.74617167882284974</c:v>
                </c:pt>
                <c:pt idx="119">
                  <c:v>0.75588338791375898</c:v>
                </c:pt>
                <c:pt idx="120">
                  <c:v>0.7656573515501226</c:v>
                </c:pt>
                <c:pt idx="121">
                  <c:v>0.77549356973194072</c:v>
                </c:pt>
                <c:pt idx="122">
                  <c:v>0.78539204245921357</c:v>
                </c:pt>
                <c:pt idx="123">
                  <c:v>0.79535276973194047</c:v>
                </c:pt>
                <c:pt idx="124">
                  <c:v>0.80537575155012275</c:v>
                </c:pt>
                <c:pt idx="125">
                  <c:v>0.81546098791375887</c:v>
                </c:pt>
                <c:pt idx="126">
                  <c:v>0.82560847882284971</c:v>
                </c:pt>
                <c:pt idx="127">
                  <c:v>0.83581822427739572</c:v>
                </c:pt>
                <c:pt idx="128">
                  <c:v>0.84609022427739533</c:v>
                </c:pt>
                <c:pt idx="129">
                  <c:v>0.85642447882285</c:v>
                </c:pt>
                <c:pt idx="130">
                  <c:v>0.86682098791375894</c:v>
                </c:pt>
                <c:pt idx="131">
                  <c:v>0.87727975155012283</c:v>
                </c:pt>
                <c:pt idx="132">
                  <c:v>0.887800769731941</c:v>
                </c:pt>
                <c:pt idx="133">
                  <c:v>0.89838404245921366</c:v>
                </c:pt>
                <c:pt idx="134">
                  <c:v>0.90902956973194082</c:v>
                </c:pt>
                <c:pt idx="135">
                  <c:v>0.91973735155012271</c:v>
                </c:pt>
                <c:pt idx="136">
                  <c:v>0.93050738791375909</c:v>
                </c:pt>
                <c:pt idx="137">
                  <c:v>0.94133967882284986</c:v>
                </c:pt>
                <c:pt idx="138">
                  <c:v>0.95223422427739557</c:v>
                </c:pt>
                <c:pt idx="139">
                  <c:v>0.96319102427739556</c:v>
                </c:pt>
                <c:pt idx="140">
                  <c:v>0.97421007882285005</c:v>
                </c:pt>
                <c:pt idx="141">
                  <c:v>0.98529138791375903</c:v>
                </c:pt>
                <c:pt idx="142">
                  <c:v>0.99643495155012263</c:v>
                </c:pt>
                <c:pt idx="143">
                  <c:v>1.0076407697319405</c:v>
                </c:pt>
                <c:pt idx="144">
                  <c:v>1.0189088424592134</c:v>
                </c:pt>
                <c:pt idx="145">
                  <c:v>1.0302391697319409</c:v>
                </c:pt>
                <c:pt idx="146">
                  <c:v>1.0416317515501226</c:v>
                </c:pt>
                <c:pt idx="147">
                  <c:v>1.053086587913759</c:v>
                </c:pt>
                <c:pt idx="148">
                  <c:v>1.0646036788228499</c:v>
                </c:pt>
                <c:pt idx="149">
                  <c:v>1.0761830242773953</c:v>
                </c:pt>
                <c:pt idx="150">
                  <c:v>1.0878246242773955</c:v>
                </c:pt>
              </c:numCache>
            </c:numRef>
          </c:yVal>
          <c:smooth val="1"/>
          <c:extLst>
            <c:ext xmlns:c16="http://schemas.microsoft.com/office/drawing/2014/chart" uri="{C3380CC4-5D6E-409C-BE32-E72D297353CC}">
              <c16:uniqueId val="{00000002-F850-4D08-8BFC-748D436DD73B}"/>
            </c:ext>
          </c:extLst>
        </c:ser>
        <c:ser>
          <c:idx val="3"/>
          <c:order val="3"/>
          <c:tx>
            <c:v>RCS</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F850-4D08-8BFC-748D436DD73B}"/>
            </c:ext>
          </c:extLst>
        </c:ser>
        <c:dLbls>
          <c:showLegendKey val="0"/>
          <c:showVal val="0"/>
          <c:showCatName val="0"/>
          <c:showSerName val="0"/>
          <c:showPercent val="0"/>
          <c:showBubbleSize val="0"/>
        </c:dLbls>
        <c:axId val="543660288"/>
        <c:axId val="543658752"/>
      </c:scatterChart>
      <c:valAx>
        <c:axId val="224130176"/>
        <c:scaling>
          <c:orientation val="minMax"/>
          <c:max val="6"/>
        </c:scaling>
        <c:delete val="0"/>
        <c:axPos val="b"/>
        <c:majorGridlines/>
        <c:numFmt formatCode="General" sourceLinked="1"/>
        <c:majorTickMark val="out"/>
        <c:minorTickMark val="none"/>
        <c:tickLblPos val="nextTo"/>
        <c:crossAx val="224131712"/>
        <c:crosses val="autoZero"/>
        <c:crossBetween val="midCat"/>
      </c:valAx>
      <c:valAx>
        <c:axId val="224131712"/>
        <c:scaling>
          <c:orientation val="minMax"/>
          <c:max val="100"/>
          <c:min val="60"/>
        </c:scaling>
        <c:delete val="0"/>
        <c:axPos val="l"/>
        <c:majorGridlines/>
        <c:title>
          <c:overlay val="0"/>
          <c:txPr>
            <a:bodyPr rot="-5400000" vert="horz"/>
            <a:lstStyle/>
            <a:p>
              <a:pPr>
                <a:defRPr/>
              </a:pPr>
              <a:endParaRPr lang="en-DE"/>
            </a:p>
          </c:txPr>
        </c:title>
        <c:numFmt formatCode="General" sourceLinked="1"/>
        <c:majorTickMark val="out"/>
        <c:minorTickMark val="none"/>
        <c:tickLblPos val="nextTo"/>
        <c:crossAx val="224130176"/>
        <c:crosses val="autoZero"/>
        <c:crossBetween val="midCat"/>
      </c:valAx>
      <c:valAx>
        <c:axId val="543658752"/>
        <c:scaling>
          <c:orientation val="minMax"/>
        </c:scaling>
        <c:delete val="0"/>
        <c:axPos val="r"/>
        <c:numFmt formatCode="General" sourceLinked="1"/>
        <c:majorTickMark val="out"/>
        <c:minorTickMark val="none"/>
        <c:tickLblPos val="nextTo"/>
        <c:crossAx val="543660288"/>
        <c:crosses val="max"/>
        <c:crossBetween val="midCat"/>
      </c:valAx>
      <c:valAx>
        <c:axId val="543660288"/>
        <c:scaling>
          <c:orientation val="minMax"/>
        </c:scaling>
        <c:delete val="1"/>
        <c:axPos val="b"/>
        <c:numFmt formatCode="General" sourceLinked="1"/>
        <c:majorTickMark val="out"/>
        <c:minorTickMark val="none"/>
        <c:tickLblPos val="nextTo"/>
        <c:crossAx val="543658752"/>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39.514690925509072</c:v>
                </c:pt>
                <c:pt idx="2">
                  <c:v>56.117775039292951</c:v>
                </c:pt>
                <c:pt idx="3">
                  <c:v>65.252581517022051</c:v>
                </c:pt>
                <c:pt idx="4">
                  <c:v>71.029504898022296</c:v>
                </c:pt>
                <c:pt idx="5">
                  <c:v>75.010165474990188</c:v>
                </c:pt>
                <c:pt idx="6">
                  <c:v>77.917817299594972</c:v>
                </c:pt>
                <c:pt idx="7">
                  <c:v>80.133377180741704</c:v>
                </c:pt>
                <c:pt idx="8">
                  <c:v>81.876540579915059</c:v>
                </c:pt>
                <c:pt idx="9">
                  <c:v>83.282915265419859</c:v>
                </c:pt>
                <c:pt idx="10">
                  <c:v>84.440738332544981</c:v>
                </c:pt>
                <c:pt idx="11">
                  <c:v>85.409899380681026</c:v>
                </c:pt>
                <c:pt idx="12">
                  <c:v>86.232478005946703</c:v>
                </c:pt>
                <c:pt idx="13">
                  <c:v>86.938906100073297</c:v>
                </c:pt>
                <c:pt idx="14">
                  <c:v>87.551737144091788</c:v>
                </c:pt>
                <c:pt idx="15">
                  <c:v>88.088040748716423</c:v>
                </c:pt>
                <c:pt idx="16">
                  <c:v>88.560973893791413</c:v>
                </c:pt>
                <c:pt idx="17">
                  <c:v>88.980841217120513</c:v>
                </c:pt>
                <c:pt idx="18">
                  <c:v>89.355828235000729</c:v>
                </c:pt>
                <c:pt idx="19">
                  <c:v>89.69251944511673</c:v>
                </c:pt>
                <c:pt idx="20">
                  <c:v>89.996271510808356</c:v>
                </c:pt>
                <c:pt idx="21">
                  <c:v>90.271486711353461</c:v>
                </c:pt>
                <c:pt idx="22">
                  <c:v>90.521816428615992</c:v>
                </c:pt>
                <c:pt idx="23">
                  <c:v>90.750314699910533</c:v>
                </c:pt>
                <c:pt idx="24">
                  <c:v>90.95955557090582</c:v>
                </c:pt>
                <c:pt idx="25">
                  <c:v>91.15172382861536</c:v>
                </c:pt>
                <c:pt idx="26">
                  <c:v>91.328685902602786</c:v>
                </c:pt>
                <c:pt idx="27">
                  <c:v>91.492045813793894</c:v>
                </c:pt>
                <c:pt idx="28">
                  <c:v>91.643189724850757</c:v>
                </c:pt>
                <c:pt idx="29">
                  <c:v>91.783321712371318</c:v>
                </c:pt>
                <c:pt idx="30">
                  <c:v>91.913492714673012</c:v>
                </c:pt>
                <c:pt idx="31">
                  <c:v>92.034624127263967</c:v>
                </c:pt>
                <c:pt idx="32">
                  <c:v>92.147527166041428</c:v>
                </c:pt>
                <c:pt idx="33">
                  <c:v>92.252918858165771</c:v>
                </c:pt>
                <c:pt idx="34">
                  <c:v>92.351435326499313</c:v>
                </c:pt>
                <c:pt idx="35">
                  <c:v>92.443642887352794</c:v>
                </c:pt>
                <c:pt idx="36">
                  <c:v>92.5300473702587</c:v>
                </c:pt>
                <c:pt idx="37">
                  <c:v>92.611101983453224</c:v>
                </c:pt>
                <c:pt idx="38">
                  <c:v>92.68721398311061</c:v>
                </c:pt>
                <c:pt idx="39">
                  <c:v>92.758750353340744</c:v>
                </c:pt>
                <c:pt idx="40">
                  <c:v>92.826042664006891</c:v>
                </c:pt>
                <c:pt idx="41">
                  <c:v>92.889391241938839</c:v>
                </c:pt>
                <c:pt idx="42">
                  <c:v>92.949068766154539</c:v>
                </c:pt>
                <c:pt idx="43">
                  <c:v>93.005323377795861</c:v>
                </c:pt>
                <c:pt idx="44">
                  <c:v>93.058381379518949</c:v>
                </c:pt>
                <c:pt idx="45">
                  <c:v>93.108449586206973</c:v>
                </c:pt>
                <c:pt idx="46">
                  <c:v>93.155717378442745</c:v>
                </c:pt>
                <c:pt idx="47">
                  <c:v>93.200358501685457</c:v>
                </c:pt>
                <c:pt idx="48">
                  <c:v>93.242532647148224</c:v>
                </c:pt>
                <c:pt idx="49">
                  <c:v>93.282386844665467</c:v>
                </c:pt>
                <c:pt idx="50">
                  <c:v>93.320056693129089</c:v>
                </c:pt>
                <c:pt idx="51">
                  <c:v>93.355667450171552</c:v>
                </c:pt>
                <c:pt idx="52">
                  <c:v>93.389334999528913</c:v>
                </c:pt>
                <c:pt idx="53">
                  <c:v>93.421166711808866</c:v>
                </c:pt>
                <c:pt idx="54">
                  <c:v>93.451262212120184</c:v>
                </c:pt>
                <c:pt idx="55">
                  <c:v>93.47971406611299</c:v>
                </c:pt>
                <c:pt idx="56">
                  <c:v>93.506608394370872</c:v>
                </c:pt>
                <c:pt idx="57">
                  <c:v>93.532025423735206</c:v>
                </c:pt>
                <c:pt idx="58">
                  <c:v>93.556039982987926</c:v>
                </c:pt>
                <c:pt idx="59">
                  <c:v>93.578721949335502</c:v>
                </c:pt>
                <c:pt idx="60">
                  <c:v>93.600136651298669</c:v>
                </c:pt>
                <c:pt idx="61">
                  <c:v>93.62034523289428</c:v>
                </c:pt>
                <c:pt idx="62">
                  <c:v>93.639404983379521</c:v>
                </c:pt>
                <c:pt idx="63">
                  <c:v>93.657369636298895</c:v>
                </c:pt>
                <c:pt idx="64">
                  <c:v>93.674289641116843</c:v>
                </c:pt>
                <c:pt idx="65">
                  <c:v>93.690212410324236</c:v>
                </c:pt>
                <c:pt idx="66">
                  <c:v>93.705182544563613</c:v>
                </c:pt>
                <c:pt idx="67">
                  <c:v>93.719242038021321</c:v>
                </c:pt>
                <c:pt idx="68">
                  <c:v>93.732430466075414</c:v>
                </c:pt>
                <c:pt idx="69">
                  <c:v>93.74478515696228</c:v>
                </c:pt>
                <c:pt idx="70">
                  <c:v>93.756341349027821</c:v>
                </c:pt>
                <c:pt idx="71">
                  <c:v>93.767132334955988</c:v>
                </c:pt>
                <c:pt idx="72">
                  <c:v>93.7771895942154</c:v>
                </c:pt>
                <c:pt idx="73">
                  <c:v>93.786542914832296</c:v>
                </c:pt>
                <c:pt idx="74">
                  <c:v>93.795220505479861</c:v>
                </c:pt>
                <c:pt idx="75">
                  <c:v>93.803249098770394</c:v>
                </c:pt>
                <c:pt idx="76">
                  <c:v>93.810654046545778</c:v>
                </c:pt>
                <c:pt idx="77">
                  <c:v>93.81745940787988</c:v>
                </c:pt>
                <c:pt idx="78">
                  <c:v>93.823688030435221</c:v>
                </c:pt>
                <c:pt idx="79">
                  <c:v>93.829361625752114</c:v>
                </c:pt>
                <c:pt idx="80">
                  <c:v>93.834500838991602</c:v>
                </c:pt>
                <c:pt idx="81">
                  <c:v>93.839125313603219</c:v>
                </c:pt>
                <c:pt idx="82">
                  <c:v>93.843253751343198</c:v>
                </c:pt>
                <c:pt idx="83">
                  <c:v>93.846903968028599</c:v>
                </c:pt>
                <c:pt idx="84">
                  <c:v>93.850092945376517</c:v>
                </c:pt>
                <c:pt idx="85">
                  <c:v>93.852836879245544</c:v>
                </c:pt>
                <c:pt idx="86">
                  <c:v>93.855151224567408</c:v>
                </c:pt>
                <c:pt idx="87">
                  <c:v>93.857050737230523</c:v>
                </c:pt>
                <c:pt idx="88">
                  <c:v>93.858549513154372</c:v>
                </c:pt>
                <c:pt idx="89">
                  <c:v>93.859661024771839</c:v>
                </c:pt>
                <c:pt idx="90">
                  <c:v>93.860398155117906</c:v>
                </c:pt>
                <c:pt idx="91">
                  <c:v>93.860773229706098</c:v>
                </c:pt>
                <c:pt idx="92">
                  <c:v>93.860798046358227</c:v>
                </c:pt>
                <c:pt idx="93">
                  <c:v>93.860483903139311</c:v>
                </c:pt>
                <c:pt idx="94">
                  <c:v>93.859841624536372</c:v>
                </c:pt>
                <c:pt idx="95">
                  <c:v>93.85888158600882</c:v>
                </c:pt>
                <c:pt idx="96">
                  <c:v>93.857613737027222</c:v>
                </c:pt>
                <c:pt idx="97">
                  <c:v>93.85604762270799</c:v>
                </c:pt>
                <c:pt idx="98">
                  <c:v>93.854192404142907</c:v>
                </c:pt>
                <c:pt idx="99">
                  <c:v>93.852056877514173</c:v>
                </c:pt>
                <c:pt idx="100">
                  <c:v>93.849649492079152</c:v>
                </c:pt>
                <c:pt idx="101">
                  <c:v>93.846978367101769</c:v>
                </c:pt>
                <c:pt idx="102">
                  <c:v>93.844051307801763</c:v>
                </c:pt>
                <c:pt idx="103">
                  <c:v>93.840875820388078</c:v>
                </c:pt>
                <c:pt idx="104">
                  <c:v>93.837459126236567</c:v>
                </c:pt>
                <c:pt idx="105">
                  <c:v>93.833808175268757</c:v>
                </c:pt>
                <c:pt idx="106">
                  <c:v>93.829929658583495</c:v>
                </c:pt>
                <c:pt idx="107">
                  <c:v>93.825830020389745</c:v>
                </c:pt>
                <c:pt idx="108">
                  <c:v>93.821515469285274</c:v>
                </c:pt>
                <c:pt idx="109">
                  <c:v>93.816991988922638</c:v>
                </c:pt>
                <c:pt idx="110">
                  <c:v>93.812265348100908</c:v>
                </c:pt>
                <c:pt idx="111">
                  <c:v>93.807341110319015</c:v>
                </c:pt>
                <c:pt idx="112">
                  <c:v>93.802224642823802</c:v>
                </c:pt>
                <c:pt idx="113">
                  <c:v>93.796921125183758</c:v>
                </c:pt>
                <c:pt idx="114">
                  <c:v>93.791435557417117</c:v>
                </c:pt>
                <c:pt idx="115">
                  <c:v>93.785772767701317</c:v>
                </c:pt>
                <c:pt idx="116">
                  <c:v>93.779937419688409</c:v>
                </c:pt>
                <c:pt idx="117">
                  <c:v>93.773934019450095</c:v>
                </c:pt>
                <c:pt idx="118">
                  <c:v>93.767766922073776</c:v>
                </c:pt>
                <c:pt idx="119">
                  <c:v>93.761440337930196</c:v>
                </c:pt>
                <c:pt idx="120">
                  <c:v>93.754958338631269</c:v>
                </c:pt>
                <c:pt idx="121">
                  <c:v>93.748324862696037</c:v>
                </c:pt>
                <c:pt idx="122">
                  <c:v>93.741543720941351</c:v>
                </c:pt>
                <c:pt idx="123">
                  <c:v>93.734618601612482</c:v>
                </c:pt>
                <c:pt idx="124">
                  <c:v>93.727553075268574</c:v>
                </c:pt>
                <c:pt idx="125">
                  <c:v>93.720350599436017</c:v>
                </c:pt>
                <c:pt idx="126">
                  <c:v>93.713014523042943</c:v>
                </c:pt>
                <c:pt idx="127">
                  <c:v>93.705548090646531</c:v>
                </c:pt>
                <c:pt idx="128">
                  <c:v>93.697954446464365</c:v>
                </c:pt>
                <c:pt idx="129">
                  <c:v>93.690236638220441</c:v>
                </c:pt>
                <c:pt idx="130">
                  <c:v>93.682397620815422</c:v>
                </c:pt>
                <c:pt idx="131">
                  <c:v>93.674440259830959</c:v>
                </c:pt>
                <c:pt idx="132">
                  <c:v>93.666367334876185</c:v>
                </c:pt>
                <c:pt idx="133">
                  <c:v>93.658181542784916</c:v>
                </c:pt>
                <c:pt idx="134">
                  <c:v>93.649885500671317</c:v>
                </c:pt>
                <c:pt idx="135">
                  <c:v>93.641481748851177</c:v>
                </c:pt>
                <c:pt idx="136">
                  <c:v>93.632972753635599</c:v>
                </c:pt>
                <c:pt idx="137">
                  <c:v>93.624360910003716</c:v>
                </c:pt>
                <c:pt idx="138">
                  <c:v>93.615648544160294</c:v>
                </c:pt>
                <c:pt idx="139">
                  <c:v>93.606837915984158</c:v>
                </c:pt>
                <c:pt idx="140">
                  <c:v>93.597931221372789</c:v>
                </c:pt>
                <c:pt idx="141">
                  <c:v>93.588930594488104</c:v>
                </c:pt>
                <c:pt idx="142">
                  <c:v>93.579838109908295</c:v>
                </c:pt>
                <c:pt idx="143">
                  <c:v>93.570655784690302</c:v>
                </c:pt>
                <c:pt idx="144">
                  <c:v>93.561385580347306</c:v>
                </c:pt>
                <c:pt idx="145">
                  <c:v>93.552029404745028</c:v>
                </c:pt>
                <c:pt idx="146">
                  <c:v>93.542589113920982</c:v>
                </c:pt>
                <c:pt idx="147">
                  <c:v>93.533066513830192</c:v>
                </c:pt>
                <c:pt idx="148">
                  <c:v>93.523463362020792</c:v>
                </c:pt>
                <c:pt idx="149">
                  <c:v>93.513781369242793</c:v>
                </c:pt>
                <c:pt idx="150">
                  <c:v>93.504022200993148</c:v>
                </c:pt>
              </c:numCache>
            </c:numRef>
          </c:yVal>
          <c:smooth val="0"/>
          <c:extLst>
            <c:ext xmlns:c16="http://schemas.microsoft.com/office/drawing/2014/chart" uri="{C3380CC4-5D6E-409C-BE32-E72D297353CC}">
              <c16:uniqueId val="{00000000-901A-4CE4-83F4-75906C9CC573}"/>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7.6735044044431697E-2</c:v>
                </c:pt>
                <c:pt idx="2">
                  <c:v>0.14472419020394739</c:v>
                </c:pt>
                <c:pt idx="3">
                  <c:v>0.21295386528908289</c:v>
                </c:pt>
                <c:pt idx="4">
                  <c:v>0.28142406929983826</c:v>
                </c:pt>
                <c:pt idx="5">
                  <c:v>0.3501348022362134</c:v>
                </c:pt>
                <c:pt idx="6">
                  <c:v>0.41908606409820842</c:v>
                </c:pt>
                <c:pt idx="7">
                  <c:v>0.48827785488582348</c:v>
                </c:pt>
                <c:pt idx="8">
                  <c:v>0.55771017459905803</c:v>
                </c:pt>
                <c:pt idx="9">
                  <c:v>0.62738302323791251</c:v>
                </c:pt>
                <c:pt idx="10">
                  <c:v>0.69729640080238686</c:v>
                </c:pt>
                <c:pt idx="11">
                  <c:v>0.7674503072924812</c:v>
                </c:pt>
                <c:pt idx="12">
                  <c:v>0.83784474270819509</c:v>
                </c:pt>
                <c:pt idx="13">
                  <c:v>0.90847970704952918</c:v>
                </c:pt>
                <c:pt idx="14">
                  <c:v>0.97935520031648293</c:v>
                </c:pt>
                <c:pt idx="15">
                  <c:v>1.0504712225090562</c:v>
                </c:pt>
                <c:pt idx="16">
                  <c:v>1.1218277736272497</c:v>
                </c:pt>
                <c:pt idx="17">
                  <c:v>1.193424853671063</c:v>
                </c:pt>
                <c:pt idx="18">
                  <c:v>1.2652624626404958</c:v>
                </c:pt>
                <c:pt idx="19">
                  <c:v>1.337340600535549</c:v>
                </c:pt>
                <c:pt idx="20">
                  <c:v>1.4096592673562214</c:v>
                </c:pt>
                <c:pt idx="21">
                  <c:v>1.4822184631025137</c:v>
                </c:pt>
                <c:pt idx="22">
                  <c:v>1.5550181877744265</c:v>
                </c:pt>
                <c:pt idx="23">
                  <c:v>1.6280584413719588</c:v>
                </c:pt>
                <c:pt idx="24">
                  <c:v>1.7013392238951106</c:v>
                </c:pt>
                <c:pt idx="25">
                  <c:v>1.7748605353438824</c:v>
                </c:pt>
                <c:pt idx="26">
                  <c:v>1.8486223757182745</c:v>
                </c:pt>
                <c:pt idx="27">
                  <c:v>1.9226247450182858</c:v>
                </c:pt>
                <c:pt idx="28">
                  <c:v>1.9968676432439179</c:v>
                </c:pt>
                <c:pt idx="29">
                  <c:v>2.0713510703951683</c:v>
                </c:pt>
                <c:pt idx="30">
                  <c:v>2.1460750264720394</c:v>
                </c:pt>
                <c:pt idx="31">
                  <c:v>2.2210395114745305</c:v>
                </c:pt>
                <c:pt idx="32">
                  <c:v>2.2962445254026411</c:v>
                </c:pt>
                <c:pt idx="33">
                  <c:v>2.3716900682563713</c:v>
                </c:pt>
                <c:pt idx="34">
                  <c:v>2.4473761400357223</c:v>
                </c:pt>
                <c:pt idx="35">
                  <c:v>2.5233027407406925</c:v>
                </c:pt>
                <c:pt idx="36">
                  <c:v>2.5994698703712822</c:v>
                </c:pt>
                <c:pt idx="37">
                  <c:v>2.6758775289274919</c:v>
                </c:pt>
                <c:pt idx="38">
                  <c:v>2.7525257164093224</c:v>
                </c:pt>
                <c:pt idx="39">
                  <c:v>2.8294144328167716</c:v>
                </c:pt>
                <c:pt idx="40">
                  <c:v>2.9065436781498408</c:v>
                </c:pt>
                <c:pt idx="41">
                  <c:v>2.9839134524085309</c:v>
                </c:pt>
                <c:pt idx="42">
                  <c:v>3.0615237555928387</c:v>
                </c:pt>
                <c:pt idx="43">
                  <c:v>3.1393745877027683</c:v>
                </c:pt>
                <c:pt idx="44">
                  <c:v>3.217465948738317</c:v>
                </c:pt>
                <c:pt idx="45">
                  <c:v>3.2957978386994853</c:v>
                </c:pt>
                <c:pt idx="46">
                  <c:v>3.374370257586274</c:v>
                </c:pt>
                <c:pt idx="47">
                  <c:v>3.4531832053986822</c:v>
                </c:pt>
                <c:pt idx="48">
                  <c:v>3.5322366821367099</c:v>
                </c:pt>
                <c:pt idx="49">
                  <c:v>3.6115306878003577</c:v>
                </c:pt>
                <c:pt idx="50">
                  <c:v>3.6910652223896254</c:v>
                </c:pt>
                <c:pt idx="51">
                  <c:v>3.770840285904514</c:v>
                </c:pt>
                <c:pt idx="52">
                  <c:v>3.8508558783450217</c:v>
                </c:pt>
                <c:pt idx="53">
                  <c:v>3.9311119997111481</c:v>
                </c:pt>
                <c:pt idx="54">
                  <c:v>4.0116086500028958</c:v>
                </c:pt>
                <c:pt idx="55">
                  <c:v>4.0923458292202621</c:v>
                </c:pt>
                <c:pt idx="56">
                  <c:v>4.1733235373632498</c:v>
                </c:pt>
                <c:pt idx="57">
                  <c:v>4.2545417744318561</c:v>
                </c:pt>
                <c:pt idx="58">
                  <c:v>4.336000540426082</c:v>
                </c:pt>
                <c:pt idx="59">
                  <c:v>4.4176998353459282</c:v>
                </c:pt>
                <c:pt idx="60">
                  <c:v>4.499639659191395</c:v>
                </c:pt>
                <c:pt idx="61">
                  <c:v>4.5818200119624795</c:v>
                </c:pt>
                <c:pt idx="62">
                  <c:v>4.6642408936591861</c:v>
                </c:pt>
                <c:pt idx="63">
                  <c:v>4.7469023042815124</c:v>
                </c:pt>
                <c:pt idx="64">
                  <c:v>4.8298042438294573</c:v>
                </c:pt>
                <c:pt idx="65">
                  <c:v>4.9129467123030217</c:v>
                </c:pt>
                <c:pt idx="66">
                  <c:v>4.9963297097022075</c:v>
                </c:pt>
                <c:pt idx="67">
                  <c:v>5.0799532360270119</c:v>
                </c:pt>
                <c:pt idx="68">
                  <c:v>5.1638172912774376</c:v>
                </c:pt>
                <c:pt idx="69">
                  <c:v>5.247921875453482</c:v>
                </c:pt>
                <c:pt idx="70">
                  <c:v>5.3322669885551468</c:v>
                </c:pt>
                <c:pt idx="71">
                  <c:v>5.4168526305824303</c:v>
                </c:pt>
                <c:pt idx="72">
                  <c:v>5.5016788015353342</c:v>
                </c:pt>
                <c:pt idx="73">
                  <c:v>5.5867455014138576</c:v>
                </c:pt>
                <c:pt idx="74">
                  <c:v>5.6720527302180015</c:v>
                </c:pt>
                <c:pt idx="75">
                  <c:v>5.7576004879477658</c:v>
                </c:pt>
                <c:pt idx="76">
                  <c:v>5.8433887746031505</c:v>
                </c:pt>
                <c:pt idx="77">
                  <c:v>5.929417590184153</c:v>
                </c:pt>
                <c:pt idx="78">
                  <c:v>6.015686934690776</c:v>
                </c:pt>
                <c:pt idx="79">
                  <c:v>6.1021968081230185</c:v>
                </c:pt>
                <c:pt idx="80">
                  <c:v>6.1889472104808814</c:v>
                </c:pt>
                <c:pt idx="81">
                  <c:v>6.2759381417643638</c:v>
                </c:pt>
                <c:pt idx="82">
                  <c:v>6.3631696019734676</c:v>
                </c:pt>
                <c:pt idx="83">
                  <c:v>6.4506415911081891</c:v>
                </c:pt>
                <c:pt idx="84">
                  <c:v>6.5383541091685293</c:v>
                </c:pt>
                <c:pt idx="85">
                  <c:v>6.6263071561544926</c:v>
                </c:pt>
                <c:pt idx="86">
                  <c:v>6.7145007320660746</c:v>
                </c:pt>
                <c:pt idx="87">
                  <c:v>6.8029348369032761</c:v>
                </c:pt>
                <c:pt idx="88">
                  <c:v>6.8916094706660989</c:v>
                </c:pt>
                <c:pt idx="89">
                  <c:v>6.9805246333545394</c:v>
                </c:pt>
                <c:pt idx="90">
                  <c:v>7.0696803249685995</c:v>
                </c:pt>
                <c:pt idx="91">
                  <c:v>7.159076545508281</c:v>
                </c:pt>
                <c:pt idx="92">
                  <c:v>7.2487132949735829</c:v>
                </c:pt>
                <c:pt idx="93">
                  <c:v>7.3385905733645025</c:v>
                </c:pt>
                <c:pt idx="94">
                  <c:v>7.4287083806810434</c:v>
                </c:pt>
                <c:pt idx="95">
                  <c:v>7.5190667169232048</c:v>
                </c:pt>
                <c:pt idx="96">
                  <c:v>7.6096655820909831</c:v>
                </c:pt>
                <c:pt idx="97">
                  <c:v>7.7005049761843836</c:v>
                </c:pt>
                <c:pt idx="98">
                  <c:v>7.7915848992034027</c:v>
                </c:pt>
                <c:pt idx="99">
                  <c:v>7.8829053511480423</c:v>
                </c:pt>
                <c:pt idx="100">
                  <c:v>7.9744663320183022</c:v>
                </c:pt>
                <c:pt idx="101">
                  <c:v>8.0662678418141844</c:v>
                </c:pt>
                <c:pt idx="102">
                  <c:v>8.1583098805356826</c:v>
                </c:pt>
                <c:pt idx="103">
                  <c:v>8.2505924481828004</c:v>
                </c:pt>
                <c:pt idx="104">
                  <c:v>8.3431155447555412</c:v>
                </c:pt>
                <c:pt idx="105">
                  <c:v>8.435879170253898</c:v>
                </c:pt>
                <c:pt idx="106">
                  <c:v>8.5288833246778761</c:v>
                </c:pt>
                <c:pt idx="107">
                  <c:v>8.6221280080274738</c:v>
                </c:pt>
                <c:pt idx="108">
                  <c:v>8.7156132203026928</c:v>
                </c:pt>
                <c:pt idx="109">
                  <c:v>8.8093389615035314</c:v>
                </c:pt>
                <c:pt idx="110">
                  <c:v>8.9033052316299894</c:v>
                </c:pt>
                <c:pt idx="111">
                  <c:v>8.9975120306820671</c:v>
                </c:pt>
                <c:pt idx="112">
                  <c:v>9.091959358659766</c:v>
                </c:pt>
                <c:pt idx="113">
                  <c:v>9.1866472155630809</c:v>
                </c:pt>
                <c:pt idx="114">
                  <c:v>9.2815756013920208</c:v>
                </c:pt>
                <c:pt idx="115">
                  <c:v>9.3767445161465766</c:v>
                </c:pt>
                <c:pt idx="116">
                  <c:v>9.4721539598267501</c:v>
                </c:pt>
                <c:pt idx="117">
                  <c:v>9.5678039324325486</c:v>
                </c:pt>
                <c:pt idx="118">
                  <c:v>9.6636944339639648</c:v>
                </c:pt>
                <c:pt idx="119">
                  <c:v>9.7598254644210023</c:v>
                </c:pt>
                <c:pt idx="120">
                  <c:v>9.8561970238036576</c:v>
                </c:pt>
                <c:pt idx="121">
                  <c:v>9.9528091121119324</c:v>
                </c:pt>
                <c:pt idx="122">
                  <c:v>10.049661729345829</c:v>
                </c:pt>
                <c:pt idx="123">
                  <c:v>10.146754875505344</c:v>
                </c:pt>
                <c:pt idx="124">
                  <c:v>10.244088550590483</c:v>
                </c:pt>
                <c:pt idx="125">
                  <c:v>10.341662754601234</c:v>
                </c:pt>
                <c:pt idx="126">
                  <c:v>10.439477487537612</c:v>
                </c:pt>
                <c:pt idx="127">
                  <c:v>10.537532749399606</c:v>
                </c:pt>
                <c:pt idx="128">
                  <c:v>10.635828540187221</c:v>
                </c:pt>
                <c:pt idx="129">
                  <c:v>10.734364859900456</c:v>
                </c:pt>
                <c:pt idx="130">
                  <c:v>10.833141708539308</c:v>
                </c:pt>
                <c:pt idx="131">
                  <c:v>10.932159086103784</c:v>
                </c:pt>
                <c:pt idx="132">
                  <c:v>11.031416992593879</c:v>
                </c:pt>
                <c:pt idx="133">
                  <c:v>11.130915428009592</c:v>
                </c:pt>
                <c:pt idx="134">
                  <c:v>11.230654392350926</c:v>
                </c:pt>
                <c:pt idx="135">
                  <c:v>11.33063388561788</c:v>
                </c:pt>
                <c:pt idx="136">
                  <c:v>11.430853907810455</c:v>
                </c:pt>
                <c:pt idx="137">
                  <c:v>11.531314458928648</c:v>
                </c:pt>
                <c:pt idx="138">
                  <c:v>11.63201553897246</c:v>
                </c:pt>
                <c:pt idx="139">
                  <c:v>11.732957147941896</c:v>
                </c:pt>
                <c:pt idx="140">
                  <c:v>11.834139285836947</c:v>
                </c:pt>
                <c:pt idx="141">
                  <c:v>11.93556195265762</c:v>
                </c:pt>
                <c:pt idx="142">
                  <c:v>12.037225148403911</c:v>
                </c:pt>
                <c:pt idx="143">
                  <c:v>12.139128873075824</c:v>
                </c:pt>
                <c:pt idx="144">
                  <c:v>12.241273126673356</c:v>
                </c:pt>
                <c:pt idx="145">
                  <c:v>12.343657909196509</c:v>
                </c:pt>
                <c:pt idx="146">
                  <c:v>12.446283220645279</c:v>
                </c:pt>
                <c:pt idx="147">
                  <c:v>12.549149061019673</c:v>
                </c:pt>
                <c:pt idx="148">
                  <c:v>12.652255430319682</c:v>
                </c:pt>
                <c:pt idx="149">
                  <c:v>12.755602328545315</c:v>
                </c:pt>
                <c:pt idx="150">
                  <c:v>12.859189755696566</c:v>
                </c:pt>
              </c:numCache>
            </c:numRef>
          </c:yVal>
          <c:smooth val="1"/>
          <c:extLst>
            <c:ext xmlns:c16="http://schemas.microsoft.com/office/drawing/2014/chart" uri="{C3380CC4-5D6E-409C-BE32-E72D297353CC}">
              <c16:uniqueId val="{00000001-901A-4CE4-83F4-75906C9CC573}"/>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3.727916973194078E-2</c:v>
                </c:pt>
                <c:pt idx="1">
                  <c:v>3.96448424592135E-2</c:v>
                </c:pt>
                <c:pt idx="2">
                  <c:v>4.2072769731940775E-2</c:v>
                </c:pt>
                <c:pt idx="3">
                  <c:v>4.456295155012259E-2</c:v>
                </c:pt>
                <c:pt idx="4">
                  <c:v>4.7115387913758959E-2</c:v>
                </c:pt>
                <c:pt idx="5">
                  <c:v>4.9730078822849869E-2</c:v>
                </c:pt>
                <c:pt idx="6">
                  <c:v>5.2407024277395325E-2</c:v>
                </c:pt>
                <c:pt idx="7">
                  <c:v>5.5146224277395323E-2</c:v>
                </c:pt>
                <c:pt idx="8">
                  <c:v>5.7947678822849867E-2</c:v>
                </c:pt>
                <c:pt idx="9">
                  <c:v>6.0811387913758959E-2</c:v>
                </c:pt>
                <c:pt idx="10">
                  <c:v>6.3737351550122598E-2</c:v>
                </c:pt>
                <c:pt idx="11">
                  <c:v>6.6725569731940784E-2</c:v>
                </c:pt>
                <c:pt idx="12">
                  <c:v>6.9776042459213511E-2</c:v>
                </c:pt>
                <c:pt idx="13">
                  <c:v>7.2888769731940778E-2</c:v>
                </c:pt>
                <c:pt idx="14">
                  <c:v>7.6063751550122613E-2</c:v>
                </c:pt>
                <c:pt idx="15">
                  <c:v>7.9300987913758975E-2</c:v>
                </c:pt>
                <c:pt idx="16">
                  <c:v>8.2600478822849877E-2</c:v>
                </c:pt>
                <c:pt idx="17">
                  <c:v>8.5962224277395347E-2</c:v>
                </c:pt>
                <c:pt idx="18">
                  <c:v>8.9386224277395315E-2</c:v>
                </c:pt>
                <c:pt idx="19">
                  <c:v>9.287247882284988E-2</c:v>
                </c:pt>
                <c:pt idx="20">
                  <c:v>9.6420987913758957E-2</c:v>
                </c:pt>
                <c:pt idx="21">
                  <c:v>0.10003175155012259</c:v>
                </c:pt>
                <c:pt idx="22">
                  <c:v>0.10370476973194079</c:v>
                </c:pt>
                <c:pt idx="23">
                  <c:v>0.1074400424592135</c:v>
                </c:pt>
                <c:pt idx="24">
                  <c:v>0.11123756973194079</c:v>
                </c:pt>
                <c:pt idx="25">
                  <c:v>0.11509735155012259</c:v>
                </c:pt>
                <c:pt idx="26">
                  <c:v>0.11901938791375896</c:v>
                </c:pt>
                <c:pt idx="27">
                  <c:v>0.12300367882284989</c:v>
                </c:pt>
                <c:pt idx="28">
                  <c:v>0.12705022427739537</c:v>
                </c:pt>
                <c:pt idx="29">
                  <c:v>0.13115902427739531</c:v>
                </c:pt>
                <c:pt idx="30">
                  <c:v>0.13533007882284989</c:v>
                </c:pt>
                <c:pt idx="31">
                  <c:v>0.13956338791375894</c:v>
                </c:pt>
                <c:pt idx="32">
                  <c:v>0.14385895155012263</c:v>
                </c:pt>
                <c:pt idx="33">
                  <c:v>0.14821676973194081</c:v>
                </c:pt>
                <c:pt idx="34">
                  <c:v>0.1526368424592135</c:v>
                </c:pt>
                <c:pt idx="35">
                  <c:v>0.15711916973194079</c:v>
                </c:pt>
                <c:pt idx="36">
                  <c:v>0.16166375155012261</c:v>
                </c:pt>
                <c:pt idx="37">
                  <c:v>0.16627058791375893</c:v>
                </c:pt>
                <c:pt idx="38">
                  <c:v>0.17093967882284991</c:v>
                </c:pt>
                <c:pt idx="39">
                  <c:v>0.17567102427739534</c:v>
                </c:pt>
                <c:pt idx="40">
                  <c:v>0.18046462427739537</c:v>
                </c:pt>
                <c:pt idx="41">
                  <c:v>0.18532047882284991</c:v>
                </c:pt>
                <c:pt idx="42">
                  <c:v>0.19023858791375892</c:v>
                </c:pt>
                <c:pt idx="43">
                  <c:v>0.19521895155012256</c:v>
                </c:pt>
                <c:pt idx="44">
                  <c:v>0.20026156973194081</c:v>
                </c:pt>
                <c:pt idx="45">
                  <c:v>0.20536644245921354</c:v>
                </c:pt>
                <c:pt idx="46">
                  <c:v>0.21053356973194076</c:v>
                </c:pt>
                <c:pt idx="47">
                  <c:v>0.21576295155012259</c:v>
                </c:pt>
                <c:pt idx="48">
                  <c:v>0.22105458791375895</c:v>
                </c:pt>
                <c:pt idx="49">
                  <c:v>0.2264084788228499</c:v>
                </c:pt>
                <c:pt idx="50">
                  <c:v>0.23182462427739531</c:v>
                </c:pt>
                <c:pt idx="51">
                  <c:v>0.2373030242773953</c:v>
                </c:pt>
                <c:pt idx="52">
                  <c:v>0.24284367882284988</c:v>
                </c:pt>
                <c:pt idx="53">
                  <c:v>0.24844658791375895</c:v>
                </c:pt>
                <c:pt idx="54">
                  <c:v>0.25411175155012256</c:v>
                </c:pt>
                <c:pt idx="55">
                  <c:v>0.25983916973194082</c:v>
                </c:pt>
                <c:pt idx="56">
                  <c:v>0.26562884245921353</c:v>
                </c:pt>
                <c:pt idx="57">
                  <c:v>0.27148076973194085</c:v>
                </c:pt>
                <c:pt idx="58">
                  <c:v>0.27739495155012261</c:v>
                </c:pt>
                <c:pt idx="59">
                  <c:v>0.28337138791375888</c:v>
                </c:pt>
                <c:pt idx="60">
                  <c:v>0.28941007882284991</c:v>
                </c:pt>
                <c:pt idx="61">
                  <c:v>0.29551102427739534</c:v>
                </c:pt>
                <c:pt idx="62">
                  <c:v>0.30167422427739538</c:v>
                </c:pt>
                <c:pt idx="63">
                  <c:v>0.30789967882284985</c:v>
                </c:pt>
                <c:pt idx="64">
                  <c:v>0.314187387913759</c:v>
                </c:pt>
                <c:pt idx="65">
                  <c:v>0.32053735155012258</c:v>
                </c:pt>
                <c:pt idx="66">
                  <c:v>0.32694956973194084</c:v>
                </c:pt>
                <c:pt idx="67">
                  <c:v>0.33342404245921342</c:v>
                </c:pt>
                <c:pt idx="68">
                  <c:v>0.33996076973194084</c:v>
                </c:pt>
                <c:pt idx="69">
                  <c:v>0.34655975155012264</c:v>
                </c:pt>
                <c:pt idx="70">
                  <c:v>0.35322098791375905</c:v>
                </c:pt>
                <c:pt idx="71">
                  <c:v>0.35994447882284986</c:v>
                </c:pt>
                <c:pt idx="72">
                  <c:v>0.36673022427739532</c:v>
                </c:pt>
                <c:pt idx="73">
                  <c:v>0.3735782242773954</c:v>
                </c:pt>
                <c:pt idx="74">
                  <c:v>0.38048847882284981</c:v>
                </c:pt>
                <c:pt idx="75">
                  <c:v>0.38746098791375905</c:v>
                </c:pt>
                <c:pt idx="76">
                  <c:v>0.39449575155012273</c:v>
                </c:pt>
                <c:pt idx="77">
                  <c:v>0.4015927697319408</c:v>
                </c:pt>
                <c:pt idx="78">
                  <c:v>0.40875204245921359</c:v>
                </c:pt>
                <c:pt idx="79">
                  <c:v>0.41597356973194088</c:v>
                </c:pt>
                <c:pt idx="80">
                  <c:v>0.42325735155012273</c:v>
                </c:pt>
                <c:pt idx="81">
                  <c:v>0.43060338791375896</c:v>
                </c:pt>
                <c:pt idx="82">
                  <c:v>0.43801167882285003</c:v>
                </c:pt>
                <c:pt idx="83">
                  <c:v>0.44548222427739537</c:v>
                </c:pt>
                <c:pt idx="84">
                  <c:v>0.45301502427739515</c:v>
                </c:pt>
                <c:pt idx="85">
                  <c:v>0.46061007882284982</c:v>
                </c:pt>
                <c:pt idx="86">
                  <c:v>0.46826738791375899</c:v>
                </c:pt>
                <c:pt idx="87">
                  <c:v>0.47598695155012261</c:v>
                </c:pt>
                <c:pt idx="88">
                  <c:v>0.48376876973194094</c:v>
                </c:pt>
                <c:pt idx="89">
                  <c:v>0.49161284245921366</c:v>
                </c:pt>
                <c:pt idx="90">
                  <c:v>0.49951916973194077</c:v>
                </c:pt>
                <c:pt idx="91">
                  <c:v>0.5074877515501226</c:v>
                </c:pt>
                <c:pt idx="92">
                  <c:v>0.51551858791375904</c:v>
                </c:pt>
                <c:pt idx="93">
                  <c:v>0.52361167882284998</c:v>
                </c:pt>
                <c:pt idx="94">
                  <c:v>0.53176702427739553</c:v>
                </c:pt>
                <c:pt idx="95">
                  <c:v>0.53998462427739535</c:v>
                </c:pt>
                <c:pt idx="96">
                  <c:v>0.5482644788228499</c:v>
                </c:pt>
                <c:pt idx="97">
                  <c:v>0.55660658791375905</c:v>
                </c:pt>
                <c:pt idx="98">
                  <c:v>0.56501095155012271</c:v>
                </c:pt>
                <c:pt idx="99">
                  <c:v>0.57347756973194075</c:v>
                </c:pt>
                <c:pt idx="100">
                  <c:v>0.58200644245921351</c:v>
                </c:pt>
                <c:pt idx="101">
                  <c:v>0.59059756973194077</c:v>
                </c:pt>
                <c:pt idx="102">
                  <c:v>0.59925095155012253</c:v>
                </c:pt>
                <c:pt idx="103">
                  <c:v>0.60796658791375902</c:v>
                </c:pt>
                <c:pt idx="104">
                  <c:v>0.61674447882285</c:v>
                </c:pt>
                <c:pt idx="105">
                  <c:v>0.62558462427739536</c:v>
                </c:pt>
                <c:pt idx="106">
                  <c:v>0.63448702427739523</c:v>
                </c:pt>
                <c:pt idx="107">
                  <c:v>0.64345167882284982</c:v>
                </c:pt>
                <c:pt idx="108">
                  <c:v>0.6524785879137589</c:v>
                </c:pt>
                <c:pt idx="109">
                  <c:v>0.6615677515501226</c:v>
                </c:pt>
                <c:pt idx="110">
                  <c:v>0.67071916973194079</c:v>
                </c:pt>
                <c:pt idx="111">
                  <c:v>0.6799328424592137</c:v>
                </c:pt>
                <c:pt idx="112">
                  <c:v>0.68920876973194112</c:v>
                </c:pt>
                <c:pt idx="113">
                  <c:v>0.6985469515501227</c:v>
                </c:pt>
                <c:pt idx="114">
                  <c:v>0.70794738791375922</c:v>
                </c:pt>
                <c:pt idx="115">
                  <c:v>0.71741007882284991</c:v>
                </c:pt>
                <c:pt idx="116">
                  <c:v>0.72693502427739531</c:v>
                </c:pt>
                <c:pt idx="117">
                  <c:v>0.73652222427739533</c:v>
                </c:pt>
                <c:pt idx="118">
                  <c:v>0.74617167882284974</c:v>
                </c:pt>
                <c:pt idx="119">
                  <c:v>0.75588338791375898</c:v>
                </c:pt>
                <c:pt idx="120">
                  <c:v>0.7656573515501226</c:v>
                </c:pt>
                <c:pt idx="121">
                  <c:v>0.77549356973194072</c:v>
                </c:pt>
                <c:pt idx="122">
                  <c:v>0.78539204245921357</c:v>
                </c:pt>
                <c:pt idx="123">
                  <c:v>0.79535276973194047</c:v>
                </c:pt>
                <c:pt idx="124">
                  <c:v>0.80537575155012275</c:v>
                </c:pt>
                <c:pt idx="125">
                  <c:v>0.81546098791375887</c:v>
                </c:pt>
                <c:pt idx="126">
                  <c:v>0.82560847882284971</c:v>
                </c:pt>
                <c:pt idx="127">
                  <c:v>0.83581822427739572</c:v>
                </c:pt>
                <c:pt idx="128">
                  <c:v>0.84609022427739533</c:v>
                </c:pt>
                <c:pt idx="129">
                  <c:v>0.85642447882285</c:v>
                </c:pt>
                <c:pt idx="130">
                  <c:v>0.86682098791375894</c:v>
                </c:pt>
                <c:pt idx="131">
                  <c:v>0.87727975155012283</c:v>
                </c:pt>
                <c:pt idx="132">
                  <c:v>0.887800769731941</c:v>
                </c:pt>
                <c:pt idx="133">
                  <c:v>0.89838404245921366</c:v>
                </c:pt>
                <c:pt idx="134">
                  <c:v>0.90902956973194082</c:v>
                </c:pt>
                <c:pt idx="135">
                  <c:v>0.91973735155012271</c:v>
                </c:pt>
                <c:pt idx="136">
                  <c:v>0.93050738791375909</c:v>
                </c:pt>
                <c:pt idx="137">
                  <c:v>0.94133967882284986</c:v>
                </c:pt>
                <c:pt idx="138">
                  <c:v>0.95223422427739557</c:v>
                </c:pt>
                <c:pt idx="139">
                  <c:v>0.96319102427739556</c:v>
                </c:pt>
                <c:pt idx="140">
                  <c:v>0.97421007882285005</c:v>
                </c:pt>
                <c:pt idx="141">
                  <c:v>0.98529138791375903</c:v>
                </c:pt>
                <c:pt idx="142">
                  <c:v>0.99643495155012263</c:v>
                </c:pt>
                <c:pt idx="143">
                  <c:v>1.0076407697319405</c:v>
                </c:pt>
                <c:pt idx="144">
                  <c:v>1.0189088424592134</c:v>
                </c:pt>
                <c:pt idx="145">
                  <c:v>1.0302391697319409</c:v>
                </c:pt>
                <c:pt idx="146">
                  <c:v>1.0416317515501226</c:v>
                </c:pt>
                <c:pt idx="147">
                  <c:v>1.053086587913759</c:v>
                </c:pt>
                <c:pt idx="148">
                  <c:v>1.0646036788228499</c:v>
                </c:pt>
                <c:pt idx="149">
                  <c:v>1.0761830242773953</c:v>
                </c:pt>
                <c:pt idx="150">
                  <c:v>1.0878246242773955</c:v>
                </c:pt>
              </c:numCache>
            </c:numRef>
          </c:yVal>
          <c:smooth val="1"/>
          <c:extLst>
            <c:ext xmlns:c16="http://schemas.microsoft.com/office/drawing/2014/chart" uri="{C3380CC4-5D6E-409C-BE32-E72D297353CC}">
              <c16:uniqueId val="{00000002-901A-4CE4-83F4-75906C9CC573}"/>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901A-4CE4-83F4-75906C9CC573}"/>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34.405113870106831</c:v>
                </c:pt>
                <c:pt idx="1">
                  <c:v>34.389565088718818</c:v>
                </c:pt>
                <c:pt idx="2">
                  <c:v>34.37334296350199</c:v>
                </c:pt>
                <c:pt idx="3">
                  <c:v>34.356421010720311</c:v>
                </c:pt>
                <c:pt idx="4">
                  <c:v>34.338771939438814</c:v>
                </c:pt>
                <c:pt idx="5">
                  <c:v>34.3203676474742</c:v>
                </c:pt>
                <c:pt idx="6">
                  <c:v>34.301179219376479</c:v>
                </c:pt>
                <c:pt idx="7">
                  <c:v>34.281176926629733</c:v>
                </c:pt>
                <c:pt idx="8">
                  <c:v>34.260330230267407</c:v>
                </c:pt>
                <c:pt idx="9">
                  <c:v>34.238607786101404</c:v>
                </c:pt>
                <c:pt idx="10">
                  <c:v>34.215977452768655</c:v>
                </c:pt>
                <c:pt idx="11">
                  <c:v>34.192406302801146</c:v>
                </c:pt>
                <c:pt idx="12">
                  <c:v>34.167860636926079</c:v>
                </c:pt>
                <c:pt idx="13">
                  <c:v>34.142306001802652</c:v>
                </c:pt>
                <c:pt idx="14">
                  <c:v>34.115707211398608</c:v>
                </c:pt>
                <c:pt idx="15">
                  <c:v>34.088028372205692</c:v>
                </c:pt>
                <c:pt idx="16">
                  <c:v>34.059232912485484</c:v>
                </c:pt>
                <c:pt idx="17">
                  <c:v>34.029283615727365</c:v>
                </c:pt>
                <c:pt idx="18">
                  <c:v>33.998142658488817</c:v>
                </c:pt>
                <c:pt idx="19">
                  <c:v>33.965771652771508</c:v>
                </c:pt>
                <c:pt idx="20">
                  <c:v>33.93213169306933</c:v>
                </c:pt>
                <c:pt idx="21">
                  <c:v>33.89718340820275</c:v>
                </c:pt>
                <c:pt idx="22">
                  <c:v>33.86088701802781</c:v>
                </c:pt>
                <c:pt idx="23">
                  <c:v>33.823202395081012</c:v>
                </c:pt>
                <c:pt idx="24">
                  <c:v>33.784089131188601</c:v>
                </c:pt>
                <c:pt idx="25">
                  <c:v>33.74350660903368</c:v>
                </c:pt>
                <c:pt idx="26">
                  <c:v>33.701414078636176</c:v>
                </c:pt>
                <c:pt idx="27">
                  <c:v>33.657770738658634</c:v>
                </c:pt>
                <c:pt idx="28">
                  <c:v>33.612535822406713</c:v>
                </c:pt>
                <c:pt idx="29">
                  <c:v>33.565668688345305</c:v>
                </c:pt>
                <c:pt idx="30">
                  <c:v>33.517128914902429</c:v>
                </c:pt>
                <c:pt idx="31">
                  <c:v>33.466876399281183</c:v>
                </c:pt>
                <c:pt idx="32">
                  <c:v>33.414871459948301</c:v>
                </c:pt>
                <c:pt idx="33">
                  <c:v>33.361074942413936</c:v>
                </c:pt>
                <c:pt idx="34">
                  <c:v>33.30544832786552</c:v>
                </c:pt>
                <c:pt idx="35">
                  <c:v>33.24795384416521</c:v>
                </c:pt>
                <c:pt idx="36">
                  <c:v>33.188554578671273</c:v>
                </c:pt>
                <c:pt idx="37">
                  <c:v>33.127214592295324</c:v>
                </c:pt>
                <c:pt idx="38">
                  <c:v>33.063899034163143</c:v>
                </c:pt>
                <c:pt idx="39">
                  <c:v>32.99857425620695</c:v>
                </c:pt>
                <c:pt idx="40">
                  <c:v>32.931207926982381</c:v>
                </c:pt>
                <c:pt idx="41">
                  <c:v>32.861769143974556</c:v>
                </c:pt>
                <c:pt idx="42">
                  <c:v>32.790228543636736</c:v>
                </c:pt>
                <c:pt idx="43">
                  <c:v>32.716558408390462</c:v>
                </c:pt>
                <c:pt idx="44">
                  <c:v>32.640732769811088</c:v>
                </c:pt>
                <c:pt idx="45">
                  <c:v>32.562727507225709</c:v>
                </c:pt>
                <c:pt idx="46">
                  <c:v>32.482520440963533</c:v>
                </c:pt>
                <c:pt idx="47">
                  <c:v>32.400091419520813</c:v>
                </c:pt>
                <c:pt idx="48">
                  <c:v>32.315422399933951</c:v>
                </c:pt>
                <c:pt idx="49">
                  <c:v>32.228497520696472</c:v>
                </c:pt>
                <c:pt idx="50">
                  <c:v>32.139303166605288</c:v>
                </c:pt>
                <c:pt idx="51">
                  <c:v>32.047828024981364</c:v>
                </c:pt>
                <c:pt idx="52">
                  <c:v>31.954063132777122</c:v>
                </c:pt>
                <c:pt idx="53">
                  <c:v>31.858001914156841</c:v>
                </c:pt>
                <c:pt idx="54">
                  <c:v>31.759640208217967</c:v>
                </c:pt>
                <c:pt idx="55">
                  <c:v>31.65897628660526</c:v>
                </c:pt>
                <c:pt idx="56">
                  <c:v>31.556010860861061</c:v>
                </c:pt>
                <c:pt idx="57">
                  <c:v>31.450747079444966</c:v>
                </c:pt>
                <c:pt idx="58">
                  <c:v>31.343190514450168</c:v>
                </c:pt>
                <c:pt idx="59">
                  <c:v>31.233349138135775</c:v>
                </c:pt>
                <c:pt idx="60">
                  <c:v>31.121233289485083</c:v>
                </c:pt>
                <c:pt idx="61">
                  <c:v>31.006855631086829</c:v>
                </c:pt>
                <c:pt idx="62">
                  <c:v>30.890231096719969</c:v>
                </c:pt>
                <c:pt idx="63">
                  <c:v>30.771376830098784</c:v>
                </c:pt>
                <c:pt idx="64">
                  <c:v>30.650312115306466</c:v>
                </c:pt>
                <c:pt idx="65">
                  <c:v>30.527058299507679</c:v>
                </c:pt>
                <c:pt idx="66">
                  <c:v>30.401638708583612</c:v>
                </c:pt>
                <c:pt idx="67">
                  <c:v>30.274078556381113</c:v>
                </c:pt>
                <c:pt idx="68">
                  <c:v>30.144404848300081</c:v>
                </c:pt>
                <c:pt idx="69">
                  <c:v>30.012646279972014</c:v>
                </c:pt>
                <c:pt idx="70">
                  <c:v>29.878833131797883</c:v>
                </c:pt>
                <c:pt idx="71">
                  <c:v>29.742997160121764</c:v>
                </c:pt>
                <c:pt idx="72">
                  <c:v>29.605171485814306</c:v>
                </c:pt>
                <c:pt idx="73">
                  <c:v>29.465390481029189</c:v>
                </c:pt>
                <c:pt idx="74">
                  <c:v>29.323689654879274</c:v>
                </c:pt>
                <c:pt idx="75">
                  <c:v>29.180105538750528</c:v>
                </c:pt>
                <c:pt idx="76">
                  <c:v>29.034675571942941</c:v>
                </c:pt>
                <c:pt idx="77">
                  <c:v>28.887437988286347</c:v>
                </c:pt>
                <c:pt idx="78">
                  <c:v>28.738431704339998</c:v>
                </c:pt>
                <c:pt idx="79">
                  <c:v>28.587696209735345</c:v>
                </c:pt>
                <c:pt idx="80">
                  <c:v>28.435271460173851</c:v>
                </c:pt>
                <c:pt idx="81">
                  <c:v>28.281197773540001</c:v>
                </c:pt>
                <c:pt idx="82">
                  <c:v>28.125515729536033</c:v>
                </c:pt>
                <c:pt idx="83">
                  <c:v>27.968266073193419</c:v>
                </c:pt>
                <c:pt idx="84">
                  <c:v>27.809489622562353</c:v>
                </c:pt>
                <c:pt idx="85">
                  <c:v>27.64922718082849</c:v>
                </c:pt>
                <c:pt idx="86">
                  <c:v>27.487519453056603</c:v>
                </c:pt>
                <c:pt idx="87">
                  <c:v>27.324406967712569</c:v>
                </c:pt>
                <c:pt idx="88">
                  <c:v>27.159930003068581</c:v>
                </c:pt>
                <c:pt idx="89">
                  <c:v>26.994128518554344</c:v>
                </c:pt>
                <c:pt idx="90">
                  <c:v>26.827042091076446</c:v>
                </c:pt>
                <c:pt idx="91">
                  <c:v>26.65870985629229</c:v>
                </c:pt>
                <c:pt idx="92">
                  <c:v>26.489170454790024</c:v>
                </c:pt>
                <c:pt idx="93">
                  <c:v>26.318461983098477</c:v>
                </c:pt>
                <c:pt idx="94">
                  <c:v>26.146621949421814</c:v>
                </c:pt>
                <c:pt idx="95">
                  <c:v>25.97368723397356</c:v>
                </c:pt>
                <c:pt idx="96">
                  <c:v>25.799694053761723</c:v>
                </c:pt>
                <c:pt idx="97">
                  <c:v>25.624677931663143</c:v>
                </c:pt>
                <c:pt idx="98">
                  <c:v>25.448673669608617</c:v>
                </c:pt>
                <c:pt idx="99">
                  <c:v>25.271715325692739</c:v>
                </c:pt>
                <c:pt idx="100">
                  <c:v>25.093836195011345</c:v>
                </c:pt>
                <c:pt idx="101">
                  <c:v>24.915068794024783</c:v>
                </c:pt>
                <c:pt idx="102">
                  <c:v>24.735444848243393</c:v>
                </c:pt>
                <c:pt idx="103">
                  <c:v>24.554995283026898</c:v>
                </c:pt>
                <c:pt idx="104">
                  <c:v>24.373750217292041</c:v>
                </c:pt>
                <c:pt idx="105">
                  <c:v>24.191738959924511</c:v>
                </c:pt>
                <c:pt idx="106">
                  <c:v>24.008990008692834</c:v>
                </c:pt>
                <c:pt idx="107">
                  <c:v>23.825531051468541</c:v>
                </c:pt>
                <c:pt idx="108">
                  <c:v>23.64138896956069</c:v>
                </c:pt>
                <c:pt idx="109">
                  <c:v>23.456589842979824</c:v>
                </c:pt>
                <c:pt idx="110">
                  <c:v>23.271158957453466</c:v>
                </c:pt>
                <c:pt idx="111">
                  <c:v>23.085120813022652</c:v>
                </c:pt>
                <c:pt idx="112">
                  <c:v>22.898499134056351</c:v>
                </c:pt>
                <c:pt idx="113">
                  <c:v>22.711316880530173</c:v>
                </c:pt>
                <c:pt idx="114">
                  <c:v>22.523596260422586</c:v>
                </c:pt>
                <c:pt idx="115">
                  <c:v>22.33535874309128</c:v>
                </c:pt>
                <c:pt idx="116">
                  <c:v>22.146625073500651</c:v>
                </c:pt>
                <c:pt idx="117">
                  <c:v>21.957415287179082</c:v>
                </c:pt>
                <c:pt idx="118">
                  <c:v>21.767748725794508</c:v>
                </c:pt>
                <c:pt idx="119">
                  <c:v>21.577644053242334</c:v>
                </c:pt>
                <c:pt idx="120">
                  <c:v>21.38711927215056</c:v>
                </c:pt>
                <c:pt idx="121">
                  <c:v>21.196191740712138</c:v>
                </c:pt>
                <c:pt idx="122">
                  <c:v>21.004878189762969</c:v>
                </c:pt>
                <c:pt idx="123">
                  <c:v>20.813194740030916</c:v>
                </c:pt>
                <c:pt idx="124">
                  <c:v>20.621156919487934</c:v>
                </c:pt>
                <c:pt idx="125">
                  <c:v>20.428779680743276</c:v>
                </c:pt>
                <c:pt idx="126">
                  <c:v>20.236077418421388</c:v>
                </c:pt>
                <c:pt idx="127">
                  <c:v>20.043063986475946</c:v>
                </c:pt>
                <c:pt idx="128">
                  <c:v>19.849752715394416</c:v>
                </c:pt>
                <c:pt idx="129">
                  <c:v>19.656156429251936</c:v>
                </c:pt>
                <c:pt idx="130">
                  <c:v>19.462287462582324</c:v>
                </c:pt>
                <c:pt idx="131">
                  <c:v>19.268157677032665</c:v>
                </c:pt>
                <c:pt idx="132">
                  <c:v>19.073778477776461</c:v>
                </c:pt>
                <c:pt idx="133">
                  <c:v>18.879160829660954</c:v>
                </c:pt>
                <c:pt idx="134">
                  <c:v>18.684315273070304</c:v>
                </c:pt>
                <c:pt idx="135">
                  <c:v>18.489251939487325</c:v>
                </c:pt>
                <c:pt idx="136">
                  <c:v>18.293980566740512</c:v>
                </c:pt>
                <c:pt idx="137">
                  <c:v>18.098510513925408</c:v>
                </c:pt>
                <c:pt idx="138">
                  <c:v>17.902850775992725</c:v>
                </c:pt>
                <c:pt idx="139">
                  <c:v>17.707009997995414</c:v>
                </c:pt>
                <c:pt idx="140">
                  <c:v>17.510996488992557</c:v>
                </c:pt>
                <c:pt idx="141">
                  <c:v>17.314818235605983</c:v>
                </c:pt>
                <c:pt idx="142">
                  <c:v>17.118482915230263</c:v>
                </c:pt>
                <c:pt idx="143">
                  <c:v>16.921997908896394</c:v>
                </c:pt>
                <c:pt idx="144">
                  <c:v>16.725370313791224</c:v>
                </c:pt>
                <c:pt idx="145">
                  <c:v>16.528606955436459</c:v>
                </c:pt>
                <c:pt idx="146">
                  <c:v>16.331714399531254</c:v>
                </c:pt>
                <c:pt idx="147">
                  <c:v>16.134698963464253</c:v>
                </c:pt>
                <c:pt idx="148">
                  <c:v>15.937566727501002</c:v>
                </c:pt>
                <c:pt idx="149">
                  <c:v>15.740323545653784</c:v>
                </c:pt>
                <c:pt idx="150">
                  <c:v>15.542975056241621</c:v>
                </c:pt>
                <c:pt idx="151">
                  <c:v>15.345526692148599</c:v>
                </c:pt>
                <c:pt idx="152">
                  <c:v>15.147983690789227</c:v>
                </c:pt>
                <c:pt idx="153">
                  <c:v>14.950351103789615</c:v>
                </c:pt>
                <c:pt idx="154">
                  <c:v>14.75263380639468</c:v>
                </c:pt>
                <c:pt idx="155">
                  <c:v>14.554836506610256</c:v>
                </c:pt>
                <c:pt idx="156">
                  <c:v>14.356963754091087</c:v>
                </c:pt>
                <c:pt idx="157">
                  <c:v>14.159019948783564</c:v>
                </c:pt>
                <c:pt idx="158">
                  <c:v>13.961009349335132</c:v>
                </c:pt>
                <c:pt idx="159">
                  <c:v>13.762936081280477</c:v>
                </c:pt>
                <c:pt idx="160">
                  <c:v>13.564804145013365</c:v>
                </c:pt>
                <c:pt idx="161">
                  <c:v>13.366617423558548</c:v>
                </c:pt>
                <c:pt idx="162">
                  <c:v>13.168379690150596</c:v>
                </c:pt>
                <c:pt idx="163">
                  <c:v>12.970094615632597</c:v>
                </c:pt>
                <c:pt idx="164">
                  <c:v>12.771765775685715</c:v>
                </c:pt>
                <c:pt idx="165">
                  <c:v>12.573396657899158</c:v>
                </c:pt>
                <c:pt idx="166">
                  <c:v>12.374990668692689</c:v>
                </c:pt>
                <c:pt idx="167">
                  <c:v>12.176551140101704</c:v>
                </c:pt>
                <c:pt idx="168">
                  <c:v>11.978081336435995</c:v>
                </c:pt>
                <c:pt idx="169">
                  <c:v>11.779584460822754</c:v>
                </c:pt>
                <c:pt idx="170">
                  <c:v>11.581063661645159</c:v>
                </c:pt>
                <c:pt idx="171">
                  <c:v>11.382522038886723</c:v>
                </c:pt>
                <c:pt idx="172">
                  <c:v>11.183962650392097</c:v>
                </c:pt>
                <c:pt idx="173">
                  <c:v>10.985388518055705</c:v>
                </c:pt>
                <c:pt idx="174">
                  <c:v>10.786802633948049</c:v>
                </c:pt>
                <c:pt idx="175">
                  <c:v>10.588207966390977</c:v>
                </c:pt>
                <c:pt idx="176">
                  <c:v>10.389607465992119</c:v>
                </c:pt>
                <c:pt idx="177">
                  <c:v>10.191004071649525</c:v>
                </c:pt>
                <c:pt idx="178">
                  <c:v>9.9924007165367144</c:v>
                </c:pt>
                <c:pt idx="179">
                  <c:v>9.7938003340791866</c:v>
                </c:pt>
                <c:pt idx="180">
                  <c:v>9.5952058639328968</c:v>
                </c:pt>
                <c:pt idx="181">
                  <c:v>9.3966202579750995</c:v>
                </c:pt>
                <c:pt idx="182">
                  <c:v>9.1980464863188374</c:v>
                </c:pt>
                <c:pt idx="183">
                  <c:v>8.999487543360841</c:v>
                </c:pt>
                <c:pt idx="184">
                  <c:v>8.8009464538747846</c:v>
                </c:pt>
                <c:pt idx="185">
                  <c:v>8.602426279159852</c:v>
                </c:pt>
                <c:pt idx="186">
                  <c:v>8.4039301232554742</c:v>
                </c:pt>
                <c:pt idx="187">
                  <c:v>8.2054611392334813</c:v>
                </c:pt>
                <c:pt idx="188">
                  <c:v>8.0070225355784341</c:v>
                </c:pt>
                <c:pt idx="189">
                  <c:v>7.8086175826673223</c:v>
                </c:pt>
                <c:pt idx="190">
                  <c:v>7.6102496193592284</c:v>
                </c:pt>
                <c:pt idx="191">
                  <c:v>7.4119220597065647</c:v>
                </c:pt>
                <c:pt idx="192">
                  <c:v>7.2136383997989935</c:v>
                </c:pt>
                <c:pt idx="193">
                  <c:v>7.015402224751119</c:v>
                </c:pt>
                <c:pt idx="194">
                  <c:v>6.8172172158453535</c:v>
                </c:pt>
                <c:pt idx="195">
                  <c:v>6.6190871578418449</c:v>
                </c:pt>
                <c:pt idx="196">
                  <c:v>6.421015946465813</c:v>
                </c:pt>
                <c:pt idx="197">
                  <c:v>6.2230075960851288</c:v>
                </c:pt>
                <c:pt idx="198">
                  <c:v>6.02506624758899</c:v>
                </c:pt>
                <c:pt idx="199">
                  <c:v>5.827196176479104</c:v>
                </c:pt>
                <c:pt idx="200">
                  <c:v>5.6294018011856251</c:v>
                </c:pt>
                <c:pt idx="201">
                  <c:v>5.4316876916190484</c:v>
                </c:pt>
                <c:pt idx="202">
                  <c:v>5.2340585779698054</c:v>
                </c:pt>
                <c:pt idx="203">
                  <c:v>5.0365193597671931</c:v>
                </c:pt>
                <c:pt idx="204">
                  <c:v>4.8390751152089972</c:v>
                </c:pt>
                <c:pt idx="205">
                  <c:v>4.6417311107735628</c:v>
                </c:pt>
                <c:pt idx="206">
                  <c:v>4.4444928111250084</c:v>
                </c:pt>
                <c:pt idx="207">
                  <c:v>4.2473658893235804</c:v>
                </c:pt>
                <c:pt idx="208">
                  <c:v>4.0503562373514033</c:v>
                </c:pt>
                <c:pt idx="209">
                  <c:v>3.8534699769641811</c:v>
                </c:pt>
                <c:pt idx="210">
                  <c:v>3.656713470880252</c:v>
                </c:pt>
                <c:pt idx="211">
                  <c:v>3.4600933343152467</c:v>
                </c:pt>
                <c:pt idx="212">
                  <c:v>3.2636164468736699</c:v>
                </c:pt>
                <c:pt idx="213">
                  <c:v>3.067289964804977</c:v>
                </c:pt>
                <c:pt idx="214">
                  <c:v>2.8711213336332921</c:v>
                </c:pt>
                <c:pt idx="215">
                  <c:v>2.675118301168343</c:v>
                </c:pt>
                <c:pt idx="216">
                  <c:v>2.4792889309038619</c:v>
                </c:pt>
                <c:pt idx="217">
                  <c:v>2.2836416158104509</c:v>
                </c:pt>
                <c:pt idx="218">
                  <c:v>2.0881850925266034</c:v>
                </c:pt>
                <c:pt idx="219">
                  <c:v>1.8929284559525859</c:v>
                </c:pt>
                <c:pt idx="220">
                  <c:v>1.6978811742490958</c:v>
                </c:pt>
                <c:pt idx="221">
                  <c:v>1.5030531042411357</c:v>
                </c:pt>
                <c:pt idx="222">
                  <c:v>1.3084545072278644</c:v>
                </c:pt>
                <c:pt idx="223">
                  <c:v>1.1140960651938339</c:v>
                </c:pt>
                <c:pt idx="224">
                  <c:v>0.91998889741859824</c:v>
                </c:pt>
                <c:pt idx="225">
                  <c:v>0.7261445774775821</c:v>
                </c:pt>
                <c:pt idx="226">
                  <c:v>0.53257515062367178</c:v>
                </c:pt>
                <c:pt idx="227">
                  <c:v>0.33929315153974704</c:v>
                </c:pt>
                <c:pt idx="228">
                  <c:v>0.14631162244565341</c:v>
                </c:pt>
                <c:pt idx="229">
                  <c:v>-4.6355868458426631E-2</c:v>
                </c:pt>
                <c:pt idx="230">
                  <c:v>-0.23869520823245341</c:v>
                </c:pt>
                <c:pt idx="231">
                  <c:v>-0.43069172014791146</c:v>
                </c:pt>
                <c:pt idx="232">
                  <c:v>-0.62233014437751666</c:v>
                </c:pt>
                <c:pt idx="233">
                  <c:v>-0.81359461845925685</c:v>
                </c:pt>
                <c:pt idx="234">
                  <c:v>-1.0044686575707276</c:v>
                </c:pt>
                <c:pt idx="235">
                  <c:v>-1.1949351346590422</c:v>
                </c:pt>
                <c:pt idx="236">
                  <c:v>-1.3849762604741533</c:v>
                </c:pt>
                <c:pt idx="237">
                  <c:v>-1.5745735635600979</c:v>
                </c:pt>
                <c:pt idx="238">
                  <c:v>-1.7637078702651199</c:v>
                </c:pt>
                <c:pt idx="239">
                  <c:v>-1.9523592848366389</c:v>
                </c:pt>
                <c:pt idx="240">
                  <c:v>-2.1405071696750522</c:v>
                </c:pt>
                <c:pt idx="241">
                  <c:v>-2.3281301258272902</c:v>
                </c:pt>
                <c:pt idx="242">
                  <c:v>-2.5152059738065393</c:v>
                </c:pt>
                <c:pt idx="243">
                  <c:v>-2.7017117348346376</c:v>
                </c:pt>
                <c:pt idx="244">
                  <c:v>-2.8876236126096186</c:v>
                </c:pt>
                <c:pt idx="245">
                  <c:v>-3.0729169757098838</c:v>
                </c:pt>
                <c:pt idx="246">
                  <c:v>-3.257566340753498</c:v>
                </c:pt>
                <c:pt idx="247">
                  <c:v>-3.4415453564409573</c:v>
                </c:pt>
                <c:pt idx="248">
                  <c:v>-3.6248267886164824</c:v>
                </c:pt>
                <c:pt idx="249">
                  <c:v>-3.8073825064923019</c:v>
                </c:pt>
                <c:pt idx="250">
                  <c:v>-3.9891834701876117</c:v>
                </c:pt>
                <c:pt idx="251">
                  <c:v>-4.1701997197425422</c:v>
                </c:pt>
                <c:pt idx="252">
                  <c:v>-4.3504003657741848</c:v>
                </c:pt>
                <c:pt idx="253">
                  <c:v>-4.5297535819501054</c:v>
                </c:pt>
                <c:pt idx="254">
                  <c:v>-4.7082265994592269</c:v>
                </c:pt>
                <c:pt idx="255">
                  <c:v>-4.8857857036679322</c:v>
                </c:pt>
                <c:pt idx="256">
                  <c:v>-5.0623962331519134</c:v>
                </c:pt>
                <c:pt idx="257">
                  <c:v>-5.2380225813000125</c:v>
                </c:pt>
                <c:pt idx="258">
                  <c:v>-5.4126282006871502</c:v>
                </c:pt>
                <c:pt idx="259">
                  <c:v>-5.5861756104148093</c:v>
                </c:pt>
                <c:pt idx="260">
                  <c:v>-5.758626406617867</c:v>
                </c:pt>
                <c:pt idx="261">
                  <c:v>-5.9299412763313422</c:v>
                </c:pt>
                <c:pt idx="262">
                  <c:v>-6.1000800149100094</c:v>
                </c:pt>
                <c:pt idx="263">
                  <c:v>-6.2690015471826221</c:v>
                </c:pt>
                <c:pt idx="264">
                  <c:v>-6.4366639525152713</c:v>
                </c:pt>
                <c:pt idx="265">
                  <c:v>-6.6030244939459726</c:v>
                </c:pt>
                <c:pt idx="266">
                  <c:v>-6.7680396515380847</c:v>
                </c:pt>
                <c:pt idx="267">
                  <c:v>-6.9316651600789703</c:v>
                </c:pt>
                <c:pt idx="268">
                  <c:v>-7.0938560512337254</c:v>
                </c:pt>
                <c:pt idx="269">
                  <c:v>-7.2545667002349825</c:v>
                </c:pt>
                <c:pt idx="270">
                  <c:v>-7.413750877165266</c:v>
                </c:pt>
                <c:pt idx="271">
                  <c:v>-7.5713618028533416</c:v>
                </c:pt>
                <c:pt idx="272">
                  <c:v>-7.7273522093759972</c:v>
                </c:pt>
                <c:pt idx="273">
                  <c:v>-7.8816744051146337</c:v>
                </c:pt>
                <c:pt idx="274">
                  <c:v>-8.0342803442782404</c:v>
                </c:pt>
                <c:pt idx="275">
                  <c:v>-8.185121700758998</c:v>
                </c:pt>
                <c:pt idx="276">
                  <c:v>-8.3341499461415438</c:v>
                </c:pt>
                <c:pt idx="277">
                  <c:v>-8.4813164316382181</c:v>
                </c:pt>
                <c:pt idx="278">
                  <c:v>-8.6265724736732921</c:v>
                </c:pt>
                <c:pt idx="279">
                  <c:v>-8.769869442787634</c:v>
                </c:pt>
                <c:pt idx="280">
                  <c:v>-8.9111588554847074</c:v>
                </c:pt>
                <c:pt idx="281">
                  <c:v>-9.050392468587134</c:v>
                </c:pt>
                <c:pt idx="282">
                  <c:v>-9.187522375624054</c:v>
                </c:pt>
                <c:pt idx="283">
                  <c:v>-9.3225011047197643</c:v>
                </c:pt>
                <c:pt idx="284">
                  <c:v>-9.4552817174111343</c:v>
                </c:pt>
                <c:pt idx="285">
                  <c:v>-9.5858179077777645</c:v>
                </c:pt>
                <c:pt idx="286">
                  <c:v>-9.7140641012327116</c:v>
                </c:pt>
                <c:pt idx="287">
                  <c:v>-9.8399755522910066</c:v>
                </c:pt>
                <c:pt idx="288">
                  <c:v>-9.9635084406054943</c:v>
                </c:pt>
                <c:pt idx="289">
                  <c:v>-10.084619964545393</c:v>
                </c:pt>
                <c:pt idx="290">
                  <c:v>-10.203268431580266</c:v>
                </c:pt>
                <c:pt idx="291">
                  <c:v>-10.319413344732071</c:v>
                </c:pt>
                <c:pt idx="292">
                  <c:v>-10.433015484366523</c:v>
                </c:pt>
                <c:pt idx="293">
                  <c:v>-10.544036984611427</c:v>
                </c:pt>
                <c:pt idx="294">
                  <c:v>-10.652441403719264</c:v>
                </c:pt>
                <c:pt idx="295">
                  <c:v>-10.7581937877261</c:v>
                </c:pt>
                <c:pt idx="296">
                  <c:v>-10.861260726808968</c:v>
                </c:pt>
                <c:pt idx="297">
                  <c:v>-10.961610403799003</c:v>
                </c:pt>
                <c:pt idx="298">
                  <c:v>-11.059212634374516</c:v>
                </c:pt>
                <c:pt idx="299">
                  <c:v>-11.154038898531448</c:v>
                </c:pt>
                <c:pt idx="300">
                  <c:v>-11.246062363011792</c:v>
                </c:pt>
                <c:pt idx="301">
                  <c:v>-11.335257894457753</c:v>
                </c:pt>
                <c:pt idx="302">
                  <c:v>-11.421602063153431</c:v>
                </c:pt>
                <c:pt idx="303">
                  <c:v>-11.505073137313381</c:v>
                </c:pt>
                <c:pt idx="304">
                  <c:v>-11.585651067976872</c:v>
                </c:pt>
                <c:pt idx="305">
                  <c:v>-11.663317464669676</c:v>
                </c:pt>
                <c:pt idx="306">
                  <c:v>-11.738055562093692</c:v>
                </c:pt>
                <c:pt idx="307">
                  <c:v>-11.809850178205789</c:v>
                </c:pt>
                <c:pt idx="308">
                  <c:v>-11.878687664142353</c:v>
                </c:pt>
                <c:pt idx="309">
                  <c:v>-11.944555846536414</c:v>
                </c:pt>
                <c:pt idx="310">
                  <c:v>-12.007443962860201</c:v>
                </c:pt>
                <c:pt idx="311">
                  <c:v>-12.067342590503486</c:v>
                </c:pt>
                <c:pt idx="312">
                  <c:v>-12.124243570366215</c:v>
                </c:pt>
                <c:pt idx="313">
                  <c:v>-12.178139925806713</c:v>
                </c:pt>
                <c:pt idx="314">
                  <c:v>-12.229025777834856</c:v>
                </c:pt>
                <c:pt idx="315">
                  <c:v>-12.276896257479979</c:v>
                </c:pt>
                <c:pt idx="316">
                  <c:v>-12.321747416293011</c:v>
                </c:pt>
                <c:pt idx="317">
                  <c:v>-12.363576135959642</c:v>
                </c:pt>
                <c:pt idx="318">
                  <c:v>-12.402380038007871</c:v>
                </c:pt>
                <c:pt idx="319">
                  <c:v>-12.438157394589034</c:v>
                </c:pt>
                <c:pt idx="320">
                  <c:v>-12.47090704129789</c:v>
                </c:pt>
                <c:pt idx="321">
                  <c:v>-12.500628292969203</c:v>
                </c:pt>
                <c:pt idx="322">
                  <c:v>-12.5273208633559</c:v>
                </c:pt>
                <c:pt idx="323">
                  <c:v>-12.55098478954803</c:v>
                </c:pt>
                <c:pt idx="324">
                  <c:v>-12.571620361938516</c:v>
                </c:pt>
                <c:pt idx="325">
                  <c:v>-12.589228060481794</c:v>
                </c:pt>
                <c:pt idx="326">
                  <c:v>-12.603808497922435</c:v>
                </c:pt>
                <c:pt idx="327">
                  <c:v>-12.615362370597659</c:v>
                </c:pt>
                <c:pt idx="328">
                  <c:v>-12.62389041733705</c:v>
                </c:pt>
                <c:pt idx="329">
                  <c:v>-12.62939338689803</c:v>
                </c:pt>
                <c:pt idx="330">
                  <c:v>-12.631872014289321</c:v>
                </c:pt>
                <c:pt idx="331">
                  <c:v>-12.631327006241179</c:v>
                </c:pt>
                <c:pt idx="332">
                  <c:v>-12.62775903598884</c:v>
                </c:pt>
                <c:pt idx="333">
                  <c:v>-12.621168747440507</c:v>
                </c:pt>
                <c:pt idx="334">
                  <c:v>-12.611556768706997</c:v>
                </c:pt>
                <c:pt idx="335">
                  <c:v>-12.598923734872907</c:v>
                </c:pt>
                <c:pt idx="336">
                  <c:v>-12.583270319795712</c:v>
                </c:pt>
                <c:pt idx="337">
                  <c:v>-12.56459727663022</c:v>
                </c:pt>
                <c:pt idx="338">
                  <c:v>-12.542905486679954</c:v>
                </c:pt>
                <c:pt idx="339">
                  <c:v>-12.518196016097056</c:v>
                </c:pt>
                <c:pt idx="340">
                  <c:v>-12.490470179867232</c:v>
                </c:pt>
                <c:pt idx="341">
                  <c:v>-12.45972961244053</c:v>
                </c:pt>
                <c:pt idx="342">
                  <c:v>-12.425976344298068</c:v>
                </c:pt>
                <c:pt idx="343">
                  <c:v>-12.389212883681575</c:v>
                </c:pt>
                <c:pt idx="344">
                  <c:v>-12.349442302655078</c:v>
                </c:pt>
                <c:pt idx="345">
                  <c:v>-12.30666832662118</c:v>
                </c:pt>
                <c:pt idx="346">
                  <c:v>-12.260895426375608</c:v>
                </c:pt>
                <c:pt idx="347">
                  <c:v>-12.212128911752769</c:v>
                </c:pt>
                <c:pt idx="348">
                  <c:v>-12.160375025897626</c:v>
                </c:pt>
                <c:pt idx="349">
                  <c:v>-12.105641039190207</c:v>
                </c:pt>
                <c:pt idx="350">
                  <c:v>-12.047935341850096</c:v>
                </c:pt>
                <c:pt idx="351">
                  <c:v>-11.987267534264546</c:v>
                </c:pt>
                <c:pt idx="352">
                  <c:v>-11.923648514105068</c:v>
                </c:pt>
                <c:pt idx="353">
                  <c:v>-11.857090559336159</c:v>
                </c:pt>
                <c:pt idx="354">
                  <c:v>-11.787607406264025</c:v>
                </c:pt>
                <c:pt idx="355">
                  <c:v>-11.715214321830658</c:v>
                </c:pt>
                <c:pt idx="356">
                  <c:v>-11.639928169424913</c:v>
                </c:pt>
                <c:pt idx="357">
                  <c:v>-11.561767467556752</c:v>
                </c:pt>
                <c:pt idx="358">
                  <c:v>-11.480752440823389</c:v>
                </c:pt>
                <c:pt idx="359">
                  <c:v>-11.396905062686384</c:v>
                </c:pt>
                <c:pt idx="360">
                  <c:v>-11.310249089671039</c:v>
                </c:pt>
                <c:pt idx="361">
                  <c:v>-11.220810086701235</c:v>
                </c:pt>
                <c:pt idx="362">
                  <c:v>-11.12861544338142</c:v>
                </c:pt>
                <c:pt idx="363">
                  <c:v>-11.03369438114049</c:v>
                </c:pt>
                <c:pt idx="364">
                  <c:v>-10.936077951254061</c:v>
                </c:pt>
                <c:pt idx="365">
                  <c:v>-10.835799023862689</c:v>
                </c:pt>
                <c:pt idx="366">
                  <c:v>-10.732892268197036</c:v>
                </c:pt>
                <c:pt idx="367">
                  <c:v>-10.627394124316602</c:v>
                </c:pt>
                <c:pt idx="368">
                  <c:v>-10.519342766751262</c:v>
                </c:pt>
                <c:pt idx="369">
                  <c:v>-10.408778060516138</c:v>
                </c:pt>
                <c:pt idx="370">
                  <c:v>-10.295741510040406</c:v>
                </c:pt>
                <c:pt idx="371">
                  <c:v>-10.180276201611871</c:v>
                </c:pt>
                <c:pt idx="372">
                  <c:v>-10.062426739995001</c:v>
                </c:pt>
                <c:pt idx="373">
                  <c:v>-9.9422391799205307</c:v>
                </c:pt>
                <c:pt idx="374">
                  <c:v>-9.8197609531804328</c:v>
                </c:pt>
                <c:pt idx="375">
                  <c:v>-9.6950407920851216</c:v>
                </c:pt>
                <c:pt idx="376">
                  <c:v>-9.5681286500535734</c:v>
                </c:pt>
                <c:pt idx="377">
                  <c:v>-9.4390756201129928</c:v>
                </c:pt>
                <c:pt idx="378">
                  <c:v>-9.307933852080442</c:v>
                </c:pt>
                <c:pt idx="379">
                  <c:v>-9.1747564691846719</c:v>
                </c:pt>
                <c:pt idx="380">
                  <c:v>-9.0395974848718641</c:v>
                </c:pt>
                <c:pt idx="381">
                  <c:v>-8.9025117205066646</c:v>
                </c:pt>
                <c:pt idx="382">
                  <c:v>-8.763554724653746</c:v>
                </c:pt>
                <c:pt idx="383">
                  <c:v>-8.6227826945836288</c:v>
                </c:pt>
                <c:pt idx="384">
                  <c:v>-8.4802524006094657</c:v>
                </c:pt>
                <c:pt idx="385">
                  <c:v>-8.3360211138155513</c:v>
                </c:pt>
                <c:pt idx="386">
                  <c:v>-8.1901465376938045</c:v>
                </c:pt>
                <c:pt idx="387">
                  <c:v>-8.0426867441564944</c:v>
                </c:pt>
                <c:pt idx="388">
                  <c:v>-7.8937001143464318</c:v>
                </c:pt>
                <c:pt idx="389">
                  <c:v>-7.7432452846187392</c:v>
                </c:pt>
                <c:pt idx="390">
                  <c:v>-7.5913810980220155</c:v>
                </c:pt>
                <c:pt idx="391">
                  <c:v>-7.4381665615606138</c:v>
                </c:pt>
                <c:pt idx="392">
                  <c:v>-7.2836608094794899</c:v>
                </c:pt>
                <c:pt idx="393">
                  <c:v>-7.1279230727700993</c:v>
                </c:pt>
                <c:pt idx="394">
                  <c:v>-6.9710126550597229</c:v>
                </c:pt>
                <c:pt idx="395">
                  <c:v>-6.8129889150113412</c:v>
                </c:pt>
                <c:pt idx="396">
                  <c:v>-6.6539112553296285</c:v>
                </c:pt>
                <c:pt idx="397">
                  <c:v>-6.4938391184405617</c:v>
                </c:pt>
                <c:pt idx="398">
                  <c:v>-6.3328319888865092</c:v>
                </c:pt>
                <c:pt idx="399">
                  <c:v>-6.1709494024572074</c:v>
                </c:pt>
                <c:pt idx="400">
                  <c:v>-6.0082509620574847</c:v>
                </c:pt>
                <c:pt idx="401">
                  <c:v>-5.8447963602968054</c:v>
                </c:pt>
                <c:pt idx="402">
                  <c:v>-5.6806454087712908</c:v>
                </c:pt>
                <c:pt idx="403">
                  <c:v>-5.5158580740003993</c:v>
                </c:pt>
                <c:pt idx="404">
                  <c:v>-5.3504945199653928</c:v>
                </c:pt>
                <c:pt idx="405">
                  <c:v>-5.1846151571959185</c:v>
                </c:pt>
                <c:pt idx="406">
                  <c:v>-5.0182806983398169</c:v>
                </c:pt>
                <c:pt idx="407">
                  <c:v>-4.8515522201452841</c:v>
                </c:pt>
                <c:pt idx="408">
                  <c:v>-4.6844912317831948</c:v>
                </c:pt>
                <c:pt idx="409">
                  <c:v>-4.5171597494252387</c:v>
                </c:pt>
                <c:pt idx="410">
                  <c:v>-4.3496203769927488</c:v>
                </c:pt>
                <c:pt idx="411">
                  <c:v>-4.1819363929782245</c:v>
                </c:pt>
                <c:pt idx="412">
                  <c:v>-4.0141718432329476</c:v>
                </c:pt>
                <c:pt idx="413">
                  <c:v>-3.8463916396021181</c:v>
                </c:pt>
                <c:pt idx="414">
                  <c:v>-3.6786616642693568</c:v>
                </c:pt>
                <c:pt idx="415">
                  <c:v>-3.5110488796536781</c:v>
                </c:pt>
                <c:pt idx="416">
                  <c:v>-3.3436214436748446</c:v>
                </c:pt>
                <c:pt idx="417">
                  <c:v>-3.1764488301707012</c:v>
                </c:pt>
                <c:pt idx="418">
                  <c:v>-3.0096019542128456</c:v>
                </c:pt>
                <c:pt idx="419">
                  <c:v>-2.8431533020172948</c:v>
                </c:pt>
                <c:pt idx="420">
                  <c:v>-2.6771770650945421</c:v>
                </c:pt>
                <c:pt idx="421">
                  <c:v>-2.5117492782161839</c:v>
                </c:pt>
                <c:pt idx="422">
                  <c:v>-2.3469479607010104</c:v>
                </c:pt>
                <c:pt idx="423">
                  <c:v>-2.1828532604344373</c:v>
                </c:pt>
                <c:pt idx="424">
                  <c:v>-2.0195475999382557</c:v>
                </c:pt>
                <c:pt idx="425">
                  <c:v>-1.8571158236918583</c:v>
                </c:pt>
                <c:pt idx="426">
                  <c:v>-1.6956453457801821</c:v>
                </c:pt>
                <c:pt idx="427">
                  <c:v>-1.5352262968038055</c:v>
                </c:pt>
                <c:pt idx="428">
                  <c:v>-1.3759516688278071</c:v>
                </c:pt>
                <c:pt idx="429">
                  <c:v>-1.2179174569755753</c:v>
                </c:pt>
                <c:pt idx="430">
                  <c:v>-1.0612227960914051</c:v>
                </c:pt>
                <c:pt idx="431">
                  <c:v>-0.90597009069140122</c:v>
                </c:pt>
                <c:pt idx="432">
                  <c:v>-0.75226513621627467</c:v>
                </c:pt>
                <c:pt idx="433">
                  <c:v>-0.60021722937484945</c:v>
                </c:pt>
                <c:pt idx="434">
                  <c:v>-0.44993926514118276</c:v>
                </c:pt>
                <c:pt idx="435">
                  <c:v>-0.301547817735351</c:v>
                </c:pt>
                <c:pt idx="436">
                  <c:v>-0.1551632026879543</c:v>
                </c:pt>
                <c:pt idx="437">
                  <c:v>-1.0909516867087835E-2</c:v>
                </c:pt>
                <c:pt idx="438">
                  <c:v>0.13108534686309123</c:v>
                </c:pt>
                <c:pt idx="439">
                  <c:v>0.27068971386680191</c:v>
                </c:pt>
                <c:pt idx="440">
                  <c:v>0.40776817450989494</c:v>
                </c:pt>
                <c:pt idx="441">
                  <c:v>0.54218166725752714</c:v>
                </c:pt>
                <c:pt idx="442">
                  <c:v>0.67378760192105247</c:v>
                </c:pt>
                <c:pt idx="443">
                  <c:v>0.80244002686372207</c:v>
                </c:pt>
                <c:pt idx="444">
                  <c:v>0.92798984387229266</c:v>
                </c:pt>
                <c:pt idx="445">
                  <c:v>1.050285074205789</c:v>
                </c:pt>
                <c:pt idx="446">
                  <c:v>1.1691711790229329</c:v>
                </c:pt>
                <c:pt idx="447">
                  <c:v>1.2844914369587734</c:v>
                </c:pt>
                <c:pt idx="448">
                  <c:v>1.3960873810550938</c:v>
                </c:pt>
                <c:pt idx="449">
                  <c:v>1.5037992965406113</c:v>
                </c:pt>
                <c:pt idx="450">
                  <c:v>1.6074667801009299</c:v>
                </c:pt>
                <c:pt idx="451">
                  <c:v>1.7069293602762323</c:v>
                </c:pt>
                <c:pt idx="452">
                  <c:v>1.8020271774828178</c:v>
                </c:pt>
                <c:pt idx="453">
                  <c:v>1.8926017208801651</c:v>
                </c:pt>
                <c:pt idx="454">
                  <c:v>1.9784966179316721</c:v>
                </c:pt>
                <c:pt idx="455">
                  <c:v>2.0595584710428279</c:v>
                </c:pt>
                <c:pt idx="456">
                  <c:v>2.1356377341625294</c:v>
                </c:pt>
                <c:pt idx="457">
                  <c:v>2.2065896207274061</c:v>
                </c:pt>
                <c:pt idx="458">
                  <c:v>2.2722750328818226</c:v>
                </c:pt>
                <c:pt idx="459">
                  <c:v>2.3325615005529059</c:v>
                </c:pt>
                <c:pt idx="460">
                  <c:v>2.3873241177869868</c:v>
                </c:pt>
                <c:pt idx="461">
                  <c:v>2.4364464627901379</c:v>
                </c:pt>
                <c:pt idx="462">
                  <c:v>2.4798214874408608</c:v>
                </c:pt>
                <c:pt idx="463">
                  <c:v>2.5173523616971476</c:v>
                </c:pt>
                <c:pt idx="464">
                  <c:v>2.5489532583478152</c:v>
                </c:pt>
                <c:pt idx="465">
                  <c:v>2.5745500639784065</c:v>
                </c:pt>
                <c:pt idx="466">
                  <c:v>2.5940810028723993</c:v>
                </c:pt>
                <c:pt idx="467">
                  <c:v>2.6074971618082636</c:v>
                </c:pt>
                <c:pt idx="468">
                  <c:v>2.6147629053556436</c:v>
                </c:pt>
                <c:pt idx="469">
                  <c:v>2.6158561732538206</c:v>
                </c:pt>
                <c:pt idx="470">
                  <c:v>2.6107686537196662</c:v>
                </c:pt>
                <c:pt idx="471">
                  <c:v>2.5995058290190043</c:v>
                </c:pt>
                <c:pt idx="472">
                  <c:v>2.5820868922396425</c:v>
                </c:pt>
                <c:pt idx="473">
                  <c:v>2.5585445368536708</c:v>
                </c:pt>
                <c:pt idx="474">
                  <c:v>2.5289246232452451</c:v>
                </c:pt>
                <c:pt idx="475">
                  <c:v>2.4932857288251942</c:v>
                </c:pt>
                <c:pt idx="476">
                  <c:v>2.4516985905657624</c:v>
                </c:pt>
                <c:pt idx="477">
                  <c:v>2.4042454507061852</c:v>
                </c:pt>
                <c:pt idx="478">
                  <c:v>2.3510193179365002</c:v>
                </c:pt>
                <c:pt idx="479">
                  <c:v>2.2921231575357375</c:v>
                </c:pt>
                <c:pt idx="480">
                  <c:v>2.2276690246943502</c:v>
                </c:pt>
                <c:pt idx="481">
                  <c:v>2.1577771555953396</c:v>
                </c:pt>
                <c:pt idx="482">
                  <c:v>2.0825750307724276</c:v>
                </c:pt>
                <c:pt idx="483">
                  <c:v>2.0021964248499029</c:v>
                </c:pt>
                <c:pt idx="484">
                  <c:v>1.9167804560260997</c:v>
                </c:pt>
                <c:pt idx="485">
                  <c:v>1.8264706476572647</c:v>
                </c:pt>
                <c:pt idx="486">
                  <c:v>1.731414013076777</c:v>
                </c:pt>
                <c:pt idx="487">
                  <c:v>1.6317601734147724</c:v>
                </c:pt>
                <c:pt idx="488">
                  <c:v>1.5276605167151469</c:v>
                </c:pt>
                <c:pt idx="489">
                  <c:v>1.4192674051402503</c:v>
                </c:pt>
                <c:pt idx="490">
                  <c:v>1.3067334355623637</c:v>
                </c:pt>
                <c:pt idx="491">
                  <c:v>1.1902107573893304</c:v>
                </c:pt>
                <c:pt idx="492">
                  <c:v>1.0698504501207093</c:v>
                </c:pt>
                <c:pt idx="493">
                  <c:v>0.94580196188166321</c:v>
                </c:pt>
                <c:pt idx="494">
                  <c:v>0.81821260906860049</c:v>
                </c:pt>
                <c:pt idx="495">
                  <c:v>0.68722713627113086</c:v>
                </c:pt>
                <c:pt idx="496">
                  <c:v>0.55298733480797657</c:v>
                </c:pt>
                <c:pt idx="497">
                  <c:v>0.41563171754024769</c:v>
                </c:pt>
                <c:pt idx="498">
                  <c:v>0.27529524708674913</c:v>
                </c:pt>
                <c:pt idx="499">
                  <c:v>0.13210911416574647</c:v>
                </c:pt>
                <c:pt idx="500">
                  <c:v>-1.3799437500112475E-2</c:v>
                </c:pt>
                <c:pt idx="501">
                  <c:v>-0.16230724344680214</c:v>
                </c:pt>
                <c:pt idx="502">
                  <c:v>-0.31329531171811542</c:v>
                </c:pt>
                <c:pt idx="503">
                  <c:v>-0.46664888091226497</c:v>
                </c:pt>
                <c:pt idx="504">
                  <c:v>-0.62225744677557326</c:v>
                </c:pt>
                <c:pt idx="505">
                  <c:v>-0.78001476096826161</c:v>
                </c:pt>
                <c:pt idx="506">
                  <c:v>-0.93981880546811791</c:v>
                </c:pt>
                <c:pt idx="507">
                  <c:v>-1.1015717458806669</c:v>
                </c:pt>
                <c:pt idx="508">
                  <c:v>-1.2651798667119296</c:v>
                </c:pt>
                <c:pt idx="509">
                  <c:v>-1.4305534914299269</c:v>
                </c:pt>
                <c:pt idx="510">
                  <c:v>-1.5976068899064622</c:v>
                </c:pt>
                <c:pt idx="511">
                  <c:v>-1.7662581755947913</c:v>
                </c:pt>
                <c:pt idx="512">
                  <c:v>-1.9364291945651368</c:v>
                </c:pt>
                <c:pt idx="513">
                  <c:v>-2.1080454082997653</c:v>
                </c:pt>
                <c:pt idx="514">
                  <c:v>-2.281035771929667</c:v>
                </c:pt>
                <c:pt idx="515">
                  <c:v>-2.4553326093959371</c:v>
                </c:pt>
                <c:pt idx="516">
                  <c:v>-2.6308714868304959</c:v>
                </c:pt>
                <c:pt idx="517">
                  <c:v>-2.8075910852734531</c:v>
                </c:pt>
                <c:pt idx="518">
                  <c:v>-2.9854330736877737</c:v>
                </c:pt>
                <c:pt idx="519">
                  <c:v>-3.1643419830831858</c:v>
                </c:pt>
                <c:pt idx="520">
                  <c:v>-3.3442650824316238</c:v>
                </c:pt>
                <c:pt idx="521">
                  <c:v>-3.525152256939033</c:v>
                </c:pt>
                <c:pt idx="522">
                  <c:v>-3.7069558891304939</c:v>
                </c:pt>
                <c:pt idx="523">
                  <c:v>-3.8896307431162085</c:v>
                </c:pt>
                <c:pt idx="524">
                  <c:v>-4.0731338523225302</c:v>
                </c:pt>
                <c:pt idx="525">
                  <c:v>-4.2574244108998922</c:v>
                </c:pt>
                <c:pt idx="526">
                  <c:v>-4.4424636689599062</c:v>
                </c:pt>
                <c:pt idx="527">
                  <c:v>-4.6282148317394105</c:v>
                </c:pt>
                <c:pt idx="528">
                  <c:v>-4.8146429627431147</c:v>
                </c:pt>
                <c:pt idx="529">
                  <c:v>-5.0017148908808542</c:v>
                </c:pt>
                <c:pt idx="530">
                  <c:v>-5.1893991215780435</c:v>
                </c:pt>
                <c:pt idx="531">
                  <c:v>-5.3776657518173803</c:v>
                </c:pt>
                <c:pt idx="532">
                  <c:v>-5.5664863890419038</c:v>
                </c:pt>
                <c:pt idx="533">
                  <c:v>-5.7558340738372369</c:v>
                </c:pt>
                <c:pt idx="534">
                  <c:v>-5.9456832062909228</c:v>
                </c:pt>
                <c:pt idx="535">
                  <c:v>-6.136009475921651</c:v>
                </c:pt>
                <c:pt idx="536">
                  <c:v>-6.3267897950581986</c:v>
                </c:pt>
                <c:pt idx="537">
                  <c:v>-6.5180022355466019</c:v>
                </c:pt>
                <c:pt idx="538">
                  <c:v>-6.7096259686553044</c:v>
                </c:pt>
                <c:pt idx="539">
                  <c:v>-6.9016412080506564</c:v>
                </c:pt>
                <c:pt idx="540">
                  <c:v>-7.0940291557115263</c:v>
                </c:pt>
                <c:pt idx="541">
                  <c:v>-7.2867719506533053</c:v>
                </c:pt>
              </c:numCache>
            </c:numRef>
          </c:yVal>
          <c:smooth val="1"/>
          <c:extLst>
            <c:ext xmlns:c16="http://schemas.microsoft.com/office/drawing/2014/chart" uri="{C3380CC4-5D6E-409C-BE32-E72D297353CC}">
              <c16:uniqueId val="{00000000-69E5-488F-8178-EA81D5C894E7}"/>
            </c:ext>
          </c:extLst>
        </c:ser>
        <c:dLbls>
          <c:showLegendKey val="0"/>
          <c:showVal val="0"/>
          <c:showCatName val="0"/>
          <c:showSerName val="0"/>
          <c:showPercent val="0"/>
          <c:showBubbleSize val="0"/>
        </c:dLbls>
        <c:axId val="555231872"/>
        <c:axId val="55523404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-15.974887880938144</c:v>
                </c:pt>
                <c:pt idx="1">
                  <c:v>-16.327235465763948</c:v>
                </c:pt>
                <c:pt idx="2">
                  <c:v>-16.686470542267628</c:v>
                </c:pt>
                <c:pt idx="3">
                  <c:v>-17.052669684221076</c:v>
                </c:pt>
                <c:pt idx="4">
                  <c:v>-17.425906401961949</c:v>
                </c:pt>
                <c:pt idx="5">
                  <c:v>-17.806250843645159</c:v>
                </c:pt>
                <c:pt idx="6">
                  <c:v>-18.193769484642569</c:v>
                </c:pt>
                <c:pt idx="7">
                  <c:v>-18.588524805393302</c:v>
                </c:pt>
                <c:pt idx="8">
                  <c:v>-18.990574958115332</c:v>
                </c:pt>
                <c:pt idx="9">
                  <c:v>-19.399973422891314</c:v>
                </c:pt>
                <c:pt idx="10">
                  <c:v>-19.816768653770101</c:v>
                </c:pt>
                <c:pt idx="11">
                  <c:v>-20.241003715645139</c:v>
                </c:pt>
                <c:pt idx="12">
                  <c:v>-20.672715912809828</c:v>
                </c:pt>
                <c:pt idx="13">
                  <c:v>-21.111936410235135</c:v>
                </c:pt>
                <c:pt idx="14">
                  <c:v>-21.558689848760267</c:v>
                </c:pt>
                <c:pt idx="15">
                  <c:v>-22.012993955548417</c:v>
                </c:pt>
                <c:pt idx="16">
                  <c:v>-22.474859151317037</c:v>
                </c:pt>
                <c:pt idx="17">
                  <c:v>-22.944288156021379</c:v>
                </c:pt>
                <c:pt idx="18">
                  <c:v>-23.421275594832597</c:v>
                </c:pt>
                <c:pt idx="19">
                  <c:v>-23.905807606425579</c:v>
                </c:pt>
                <c:pt idx="20">
                  <c:v>-24.397861455752864</c:v>
                </c:pt>
                <c:pt idx="21">
                  <c:v>-24.897405153647831</c:v>
                </c:pt>
                <c:pt idx="22">
                  <c:v>-25.404397085753835</c:v>
                </c:pt>
                <c:pt idx="23">
                  <c:v>-25.918785653428841</c:v>
                </c:pt>
                <c:pt idx="24">
                  <c:v>-26.440508929402057</c:v>
                </c:pt>
                <c:pt idx="25">
                  <c:v>-26.969494331092349</c:v>
                </c:pt>
                <c:pt idx="26">
                  <c:v>-27.505658314587741</c:v>
                </c:pt>
                <c:pt idx="27">
                  <c:v>-28.048906092380445</c:v>
                </c:pt>
                <c:pt idx="28">
                  <c:v>-28.59913137799591</c:v>
                </c:pt>
                <c:pt idx="29">
                  <c:v>-29.156216160692981</c:v>
                </c:pt>
                <c:pt idx="30">
                  <c:v>-29.720030513404804</c:v>
                </c:pt>
                <c:pt idx="31">
                  <c:v>-30.290432437054996</c:v>
                </c:pt>
                <c:pt idx="32">
                  <c:v>-30.867267744306375</c:v>
                </c:pt>
                <c:pt idx="33">
                  <c:v>-31.450369985696774</c:v>
                </c:pt>
                <c:pt idx="34">
                  <c:v>-32.039560420946458</c:v>
                </c:pt>
                <c:pt idx="35">
                  <c:v>-32.634648038039835</c:v>
                </c:pt>
                <c:pt idx="36">
                  <c:v>-33.235429622434665</c:v>
                </c:pt>
                <c:pt idx="37">
                  <c:v>-33.841689878471925</c:v>
                </c:pt>
                <c:pt idx="38">
                  <c:v>-34.453201604733053</c:v>
                </c:pt>
                <c:pt idx="39">
                  <c:v>-35.069725924723855</c:v>
                </c:pt>
                <c:pt idx="40">
                  <c:v>-35.691012573858416</c:v>
                </c:pt>
                <c:pt idx="41">
                  <c:v>-36.316800243279452</c:v>
                </c:pt>
                <c:pt idx="42">
                  <c:v>-36.946816980574333</c:v>
                </c:pt>
                <c:pt idx="43">
                  <c:v>-37.580780646955603</c:v>
                </c:pt>
                <c:pt idx="44">
                  <c:v>-38.218399429955994</c:v>
                </c:pt>
                <c:pt idx="45">
                  <c:v>-38.859372410160582</c:v>
                </c:pt>
                <c:pt idx="46">
                  <c:v>-39.503390179963688</c:v>
                </c:pt>
                <c:pt idx="47">
                  <c:v>-40.150135511809829</c:v>
                </c:pt>
                <c:pt idx="48">
                  <c:v>-40.799284072855201</c:v>
                </c:pt>
                <c:pt idx="49">
                  <c:v>-41.450505182488364</c:v>
                </c:pt>
                <c:pt idx="50">
                  <c:v>-42.103462608673915</c:v>
                </c:pt>
                <c:pt idx="51">
                  <c:v>-42.757815398647111</c:v>
                </c:pt>
                <c:pt idx="52">
                  <c:v>-43.413218739093445</c:v>
                </c:pt>
                <c:pt idx="53">
                  <c:v>-44.06932484060799</c:v>
                </c:pt>
                <c:pt idx="54">
                  <c:v>-44.725783840936614</c:v>
                </c:pt>
                <c:pt idx="55">
                  <c:v>-45.382244721288835</c:v>
                </c:pt>
                <c:pt idx="56">
                  <c:v>-46.038356229845611</c:v>
                </c:pt>
                <c:pt idx="57">
                  <c:v>-46.693767806508362</c:v>
                </c:pt>
                <c:pt idx="58">
                  <c:v>-47.348130502909477</c:v>
                </c:pt>
                <c:pt idx="59">
                  <c:v>-48.001097891776688</c:v>
                </c:pt>
                <c:pt idx="60">
                  <c:v>-48.652326959849937</c:v>
                </c:pt>
                <c:pt idx="61">
                  <c:v>-49.301478978766731</c:v>
                </c:pt>
                <c:pt idx="62">
                  <c:v>-49.948220348573003</c:v>
                </c:pt>
                <c:pt idx="63">
                  <c:v>-50.592223408847879</c:v>
                </c:pt>
                <c:pt idx="64">
                  <c:v>-51.233167212796438</c:v>
                </c:pt>
                <c:pt idx="65">
                  <c:v>-51.870738260083783</c:v>
                </c:pt>
                <c:pt idx="66">
                  <c:v>-52.504631184653697</c:v>
                </c:pt>
                <c:pt idx="67">
                  <c:v>-53.134549394243706</c:v>
                </c:pt>
                <c:pt idx="68">
                  <c:v>-53.760205658841315</c:v>
                </c:pt>
                <c:pt idx="69">
                  <c:v>-54.381322645844477</c:v>
                </c:pt>
                <c:pt idx="70">
                  <c:v>-54.997633400223123</c:v>
                </c:pt>
                <c:pt idx="71">
                  <c:v>-55.608881768508837</c:v>
                </c:pt>
                <c:pt idx="72">
                  <c:v>-56.214822765965764</c:v>
                </c:pt>
                <c:pt idx="73">
                  <c:v>-56.815222886800164</c:v>
                </c:pt>
                <c:pt idx="74">
                  <c:v>-57.409860357742723</c:v>
                </c:pt>
                <c:pt idx="75">
                  <c:v>-57.998525335801808</c:v>
                </c:pt>
                <c:pt idx="76">
                  <c:v>-58.581020051393445</c:v>
                </c:pt>
                <c:pt idx="77">
                  <c:v>-59.157158898453972</c:v>
                </c:pt>
                <c:pt idx="78">
                  <c:v>-59.726768473464006</c:v>
                </c:pt>
                <c:pt idx="79">
                  <c:v>-60.289687565635404</c:v>
                </c:pt>
                <c:pt idx="80">
                  <c:v>-60.845767100753662</c:v>
                </c:pt>
                <c:pt idx="81">
                  <c:v>-61.394870041396707</c:v>
                </c:pt>
                <c:pt idx="82">
                  <c:v>-61.936871246411052</c:v>
                </c:pt>
                <c:pt idx="83">
                  <c:v>-62.471657292669192</c:v>
                </c:pt>
                <c:pt idx="84">
                  <c:v>-62.999126262208726</c:v>
                </c:pt>
                <c:pt idx="85">
                  <c:v>-63.519187497917002</c:v>
                </c:pt>
                <c:pt idx="86">
                  <c:v>-64.031761330935922</c:v>
                </c:pt>
                <c:pt idx="87">
                  <c:v>-64.536778782944268</c:v>
                </c:pt>
                <c:pt idx="88">
                  <c:v>-65.034181246434457</c:v>
                </c:pt>
                <c:pt idx="89">
                  <c:v>-65.523920146024963</c:v>
                </c:pt>
                <c:pt idx="90">
                  <c:v>-66.005956583756713</c:v>
                </c:pt>
                <c:pt idx="91">
                  <c:v>-66.48026097120723</c:v>
                </c:pt>
                <c:pt idx="92">
                  <c:v>-66.94681265112915</c:v>
                </c:pt>
                <c:pt idx="93">
                  <c:v>-67.405599511170252</c:v>
                </c:pt>
                <c:pt idx="94">
                  <c:v>-67.85661759208628</c:v>
                </c:pt>
                <c:pt idx="95">
                  <c:v>-68.299870692692267</c:v>
                </c:pt>
                <c:pt idx="96">
                  <c:v>-68.735369973633595</c:v>
                </c:pt>
                <c:pt idx="97">
                  <c:v>-69.163133561891456</c:v>
                </c:pt>
                <c:pt idx="98">
                  <c:v>-69.58318615776912</c:v>
                </c:pt>
                <c:pt idx="99">
                  <c:v>-69.995558645938033</c:v>
                </c:pt>
                <c:pt idx="100">
                  <c:v>-70.40028771195945</c:v>
                </c:pt>
                <c:pt idx="101">
                  <c:v>-70.797415465541732</c:v>
                </c:pt>
                <c:pt idx="102">
                  <c:v>-71.186989071633604</c:v>
                </c:pt>
                <c:pt idx="103">
                  <c:v>-71.56906039031729</c:v>
                </c:pt>
                <c:pt idx="104">
                  <c:v>-71.943685626315329</c:v>
                </c:pt>
                <c:pt idx="105">
                  <c:v>-72.310924988803919</c:v>
                </c:pt>
                <c:pt idx="106">
                  <c:v>-72.670842362095172</c:v>
                </c:pt>
                <c:pt idx="107">
                  <c:v>-73.0235049876418</c:v>
                </c:pt>
                <c:pt idx="108">
                  <c:v>-73.368983157708243</c:v>
                </c:pt>
                <c:pt idx="109">
                  <c:v>-73.707349920958691</c:v>
                </c:pt>
                <c:pt idx="110">
                  <c:v>-74.03868080012198</c:v>
                </c:pt>
                <c:pt idx="111">
                  <c:v>-74.363053521811636</c:v>
                </c:pt>
                <c:pt idx="112">
                  <c:v>-74.680547758511494</c:v>
                </c:pt>
                <c:pt idx="113">
                  <c:v>-74.991244882669562</c:v>
                </c:pt>
                <c:pt idx="114">
                  <c:v>-75.295227732785477</c:v>
                </c:pt>
                <c:pt idx="115">
                  <c:v>-75.592580391330017</c:v>
                </c:pt>
                <c:pt idx="116">
                  <c:v>-75.883387974286336</c:v>
                </c:pt>
                <c:pt idx="117">
                  <c:v>-76.167736432070413</c:v>
                </c:pt>
                <c:pt idx="118">
                  <c:v>-76.445712361554058</c:v>
                </c:pt>
                <c:pt idx="119">
                  <c:v>-76.717402828884701</c:v>
                </c:pt>
                <c:pt idx="120">
                  <c:v>-76.982895202779261</c:v>
                </c:pt>
                <c:pt idx="121">
                  <c:v>-77.242276997949446</c:v>
                </c:pt>
                <c:pt idx="122">
                  <c:v>-77.495635728299661</c:v>
                </c:pt>
                <c:pt idx="123">
                  <c:v>-77.743058769536816</c:v>
                </c:pt>
                <c:pt idx="124">
                  <c:v>-77.984633230814183</c:v>
                </c:pt>
                <c:pt idx="125">
                  <c:v>-78.220445835037694</c:v>
                </c:pt>
                <c:pt idx="126">
                  <c:v>-78.45058280745539</c:v>
                </c:pt>
                <c:pt idx="127">
                  <c:v>-78.675129772153227</c:v>
                </c:pt>
                <c:pt idx="128">
                  <c:v>-78.894171656086954</c:v>
                </c:pt>
                <c:pt idx="129">
                  <c:v>-79.107792600279211</c:v>
                </c:pt>
                <c:pt idx="130">
                  <c:v>-79.316075877821262</c:v>
                </c:pt>
                <c:pt idx="131">
                  <c:v>-79.519103818324055</c:v>
                </c:pt>
                <c:pt idx="132">
                  <c:v>-79.716957738472985</c:v>
                </c:pt>
                <c:pt idx="133">
                  <c:v>-79.909717878349994</c:v>
                </c:pt>
                <c:pt idx="134">
                  <c:v>-80.097463343195358</c:v>
                </c:pt>
                <c:pt idx="135">
                  <c:v>-80.280272050293604</c:v>
                </c:pt>
                <c:pt idx="136">
                  <c:v>-80.458220680678224</c:v>
                </c:pt>
                <c:pt idx="137">
                  <c:v>-80.631384635361741</c:v>
                </c:pt>
                <c:pt idx="138">
                  <c:v>-80.799837995807238</c:v>
                </c:pt>
                <c:pt idx="139">
                  <c:v>-80.963653488372699</c:v>
                </c:pt>
                <c:pt idx="140">
                  <c:v>-81.122902452465468</c:v>
                </c:pt>
                <c:pt idx="141">
                  <c:v>-81.277654812162723</c:v>
                </c:pt>
                <c:pt idx="142">
                  <c:v>-81.427979051057278</c:v>
                </c:pt>
                <c:pt idx="143">
                  <c:v>-81.573942190106891</c:v>
                </c:pt>
                <c:pt idx="144">
                  <c:v>-81.715609768269957</c:v>
                </c:pt>
                <c:pt idx="145">
                  <c:v>-81.85304582572563</c:v>
                </c:pt>
                <c:pt idx="146">
                  <c:v>-81.986312889484182</c:v>
                </c:pt>
                <c:pt idx="147">
                  <c:v>-82.115471961204761</c:v>
                </c:pt>
                <c:pt idx="148">
                  <c:v>-82.240582507047733</c:v>
                </c:pt>
                <c:pt idx="149">
                  <c:v>-82.36170244939747</c:v>
                </c:pt>
                <c:pt idx="150">
                  <c:v>-82.47888816030158</c:v>
                </c:pt>
                <c:pt idx="151">
                  <c:v>-82.592194456480769</c:v>
                </c:pt>
                <c:pt idx="152">
                  <c:v>-82.701674595772403</c:v>
                </c:pt>
                <c:pt idx="153">
                  <c:v>-82.807380274879364</c:v>
                </c:pt>
                <c:pt idx="154">
                  <c:v>-82.909361628302335</c:v>
                </c:pt>
                <c:pt idx="155">
                  <c:v>-83.007667228343308</c:v>
                </c:pt>
                <c:pt idx="156">
                  <c:v>-83.102344086072932</c:v>
                </c:pt>
                <c:pt idx="157">
                  <c:v>-83.19343765316367</c:v>
                </c:pt>
                <c:pt idx="158">
                  <c:v>-83.280991824494791</c:v>
                </c:pt>
                <c:pt idx="159">
                  <c:v>-83.365048941443575</c:v>
                </c:pt>
                <c:pt idx="160">
                  <c:v>-83.445649795782387</c:v>
                </c:pt>
                <c:pt idx="161">
                  <c:v>-83.522833634105965</c:v>
                </c:pt>
                <c:pt idx="162">
                  <c:v>-83.596638162720993</c:v>
                </c:pt>
                <c:pt idx="163">
                  <c:v>-83.667099552933252</c:v>
                </c:pt>
                <c:pt idx="164">
                  <c:v>-83.734252446672897</c:v>
                </c:pt>
                <c:pt idx="165">
                  <c:v>-83.798129962404872</c:v>
                </c:pt>
                <c:pt idx="166">
                  <c:v>-83.85876370127319</c:v>
                </c:pt>
                <c:pt idx="167">
                  <c:v>-83.91618375343495</c:v>
                </c:pt>
                <c:pt idx="168">
                  <c:v>-83.970418704542197</c:v>
                </c:pt>
                <c:pt idx="169">
                  <c:v>-84.021495642334898</c:v>
                </c:pt>
                <c:pt idx="170">
                  <c:v>-84.069440163311</c:v>
                </c:pt>
                <c:pt idx="171">
                  <c:v>-84.114276379444334</c:v>
                </c:pt>
                <c:pt idx="172">
                  <c:v>-84.156026924924831</c:v>
                </c:pt>
                <c:pt idx="173">
                  <c:v>-84.194712962896872</c:v>
                </c:pt>
                <c:pt idx="174">
                  <c:v>-84.230354192177927</c:v>
                </c:pt>
                <c:pt idx="175">
                  <c:v>-84.262968853940706</c:v>
                </c:pt>
                <c:pt idx="176">
                  <c:v>-84.292573738346292</c:v>
                </c:pt>
                <c:pt idx="177">
                  <c:v>-84.31918419111787</c:v>
                </c:pt>
                <c:pt idx="178">
                  <c:v>-84.342814120049383</c:v>
                </c:pt>
                <c:pt idx="179">
                  <c:v>-84.363476001444027</c:v>
                </c:pt>
                <c:pt idx="180">
                  <c:v>-84.381180886483492</c:v>
                </c:pt>
                <c:pt idx="181">
                  <c:v>-84.395938407528746</c:v>
                </c:pt>
                <c:pt idx="182">
                  <c:v>-84.407756784358369</c:v>
                </c:pt>
                <c:pt idx="183">
                  <c:v>-84.416642830352799</c:v>
                </c:pt>
                <c:pt idx="184">
                  <c:v>-84.422601958634957</c:v>
                </c:pt>
                <c:pt idx="185">
                  <c:v>-84.425638188182248</c:v>
                </c:pt>
                <c:pt idx="186">
                  <c:v>-84.425754149926746</c:v>
                </c:pt>
                <c:pt idx="187">
                  <c:v>-84.422951092864551</c:v>
                </c:pt>
                <c:pt idx="188">
                  <c:v>-84.417228890197222</c:v>
                </c:pt>
                <c:pt idx="189">
                  <c:v>-84.408586045533042</c:v>
                </c:pt>
                <c:pt idx="190">
                  <c:v>-84.397019699178031</c:v>
                </c:pt>
                <c:pt idx="191">
                  <c:v>-84.382525634550532</c:v>
                </c:pt>
                <c:pt idx="192">
                  <c:v>-84.365098284757309</c:v>
                </c:pt>
                <c:pt idx="193">
                  <c:v>-84.344730739371585</c:v>
                </c:pt>
                <c:pt idx="194">
                  <c:v>-84.321414751458974</c:v>
                </c:pt>
                <c:pt idx="195">
                  <c:v>-84.295140744900294</c:v>
                </c:pt>
                <c:pt idx="196">
                  <c:v>-84.265897822064048</c:v>
                </c:pt>
                <c:pt idx="197">
                  <c:v>-84.233673771887524</c:v>
                </c:pt>
                <c:pt idx="198">
                  <c:v>-84.198455078428353</c:v>
                </c:pt>
                <c:pt idx="199">
                  <c:v>-84.160226929953666</c:v>
                </c:pt>
                <c:pt idx="200">
                  <c:v>-84.118973228640172</c:v>
                </c:pt>
                <c:pt idx="201">
                  <c:v>-84.074676600961709</c:v>
                </c:pt>
                <c:pt idx="202">
                  <c:v>-84.027318408848529</c:v>
                </c:pt>
                <c:pt idx="203">
                  <c:v>-83.976878761707027</c:v>
                </c:pt>
                <c:pt idx="204">
                  <c:v>-83.923336529394476</c:v>
                </c:pt>
                <c:pt idx="205">
                  <c:v>-83.866669356251748</c:v>
                </c:pt>
                <c:pt idx="206">
                  <c:v>-83.80685367630096</c:v>
                </c:pt>
                <c:pt idx="207">
                  <c:v>-83.743864729723569</c:v>
                </c:pt>
                <c:pt idx="208">
                  <c:v>-83.677676580742201</c:v>
                </c:pt>
                <c:pt idx="209">
                  <c:v>-83.608262137034572</c:v>
                </c:pt>
                <c:pt idx="210">
                  <c:v>-83.53559317081988</c:v>
                </c:pt>
                <c:pt idx="211">
                  <c:v>-83.459640341761457</c:v>
                </c:pt>
                <c:pt idx="212">
                  <c:v>-83.38037322184266</c:v>
                </c:pt>
                <c:pt idx="213">
                  <c:v>-83.297760322377982</c:v>
                </c:pt>
                <c:pt idx="214">
                  <c:v>-83.211769123333724</c:v>
                </c:pt>
                <c:pt idx="215">
                  <c:v>-83.122366105139889</c:v>
                </c:pt>
                <c:pt idx="216">
                  <c:v>-83.029516783185571</c:v>
                </c:pt>
                <c:pt idx="217">
                  <c:v>-82.933185745200902</c:v>
                </c:pt>
                <c:pt idx="218">
                  <c:v>-82.833336691737912</c:v>
                </c:pt>
                <c:pt idx="219">
                  <c:v>-82.72993247997303</c:v>
                </c:pt>
                <c:pt idx="220">
                  <c:v>-82.6229351710668</c:v>
                </c:pt>
                <c:pt idx="221">
                  <c:v>-82.512306081324681</c:v>
                </c:pt>
                <c:pt idx="222">
                  <c:v>-82.398005837415326</c:v>
                </c:pt>
                <c:pt idx="223">
                  <c:v>-82.279994435914588</c:v>
                </c:pt>
                <c:pt idx="224">
                  <c:v>-82.158231307451658</c:v>
                </c:pt>
                <c:pt idx="225">
                  <c:v>-82.03267538574913</c:v>
                </c:pt>
                <c:pt idx="226">
                  <c:v>-81.903285181854386</c:v>
                </c:pt>
                <c:pt idx="227">
                  <c:v>-81.770018863875904</c:v>
                </c:pt>
                <c:pt idx="228">
                  <c:v>-81.632834342543305</c:v>
                </c:pt>
                <c:pt idx="229">
                  <c:v>-81.491689362922017</c:v>
                </c:pt>
                <c:pt idx="230">
                  <c:v>-81.346541602622551</c:v>
                </c:pt>
                <c:pt idx="231">
                  <c:v>-81.197348776851541</c:v>
                </c:pt>
                <c:pt idx="232">
                  <c:v>-81.04406875065898</c:v>
                </c:pt>
                <c:pt idx="233">
                  <c:v>-80.886659658742531</c:v>
                </c:pt>
                <c:pt idx="234">
                  <c:v>-80.725080033173697</c:v>
                </c:pt>
                <c:pt idx="235">
                  <c:v>-80.559288939414088</c:v>
                </c:pt>
                <c:pt idx="236">
                  <c:v>-80.38924612098937</c:v>
                </c:pt>
                <c:pt idx="237">
                  <c:v>-80.214912153189729</c:v>
                </c:pt>
                <c:pt idx="238">
                  <c:v>-80.03624860615966</c:v>
                </c:pt>
                <c:pt idx="239">
                  <c:v>-79.853218217733399</c:v>
                </c:pt>
                <c:pt idx="240">
                  <c:v>-79.665785076364713</c:v>
                </c:pt>
                <c:pt idx="241">
                  <c:v>-79.473914814482683</c:v>
                </c:pt>
                <c:pt idx="242">
                  <c:v>-79.277574812591666</c:v>
                </c:pt>
                <c:pt idx="243">
                  <c:v>-79.076734414409415</c:v>
                </c:pt>
                <c:pt idx="244">
                  <c:v>-78.871365153311331</c:v>
                </c:pt>
                <c:pt idx="245">
                  <c:v>-78.661440990317843</c:v>
                </c:pt>
                <c:pt idx="246">
                  <c:v>-78.446938563826322</c:v>
                </c:pt>
                <c:pt idx="247">
                  <c:v>-78.227837451240148</c:v>
                </c:pt>
                <c:pt idx="248">
                  <c:v>-78.004120442604062</c:v>
                </c:pt>
                <c:pt idx="249">
                  <c:v>-77.775773826296827</c:v>
                </c:pt>
                <c:pt idx="250">
                  <c:v>-77.542787686762495</c:v>
                </c:pt>
                <c:pt idx="251">
                  <c:v>-77.305156214198306</c:v>
                </c:pt>
                <c:pt idx="252">
                  <c:v>-77.062878026031612</c:v>
                </c:pt>
                <c:pt idx="253">
                  <c:v>-76.815956499931502</c:v>
                </c:pt>
                <c:pt idx="254">
                  <c:v>-76.564400118003391</c:v>
                </c:pt>
                <c:pt idx="255">
                  <c:v>-76.308222821710288</c:v>
                </c:pt>
                <c:pt idx="256">
                  <c:v>-76.047444376949798</c:v>
                </c:pt>
                <c:pt idx="257">
                  <c:v>-75.782090748589425</c:v>
                </c:pt>
                <c:pt idx="258">
                  <c:v>-75.512194483634673</c:v>
                </c:pt>
                <c:pt idx="259">
                  <c:v>-75.237795102063174</c:v>
                </c:pt>
                <c:pt idx="260">
                  <c:v>-74.958939494205111</c:v>
                </c:pt>
                <c:pt idx="261">
                  <c:v>-74.675682323402455</c:v>
                </c:pt>
                <c:pt idx="262">
                  <c:v>-74.388086432509567</c:v>
                </c:pt>
                <c:pt idx="263">
                  <c:v>-74.096223252635212</c:v>
                </c:pt>
                <c:pt idx="264">
                  <c:v>-73.800173212352306</c:v>
                </c:pt>
                <c:pt idx="265">
                  <c:v>-73.500026145427952</c:v>
                </c:pt>
                <c:pt idx="266">
                  <c:v>-73.195881694950444</c:v>
                </c:pt>
                <c:pt idx="267">
                  <c:v>-72.887849711556072</c:v>
                </c:pt>
                <c:pt idx="268">
                  <c:v>-72.576050643289349</c:v>
                </c:pt>
                <c:pt idx="269">
                  <c:v>-72.260615914460971</c:v>
                </c:pt>
                <c:pt idx="270">
                  <c:v>-71.941688290717323</c:v>
                </c:pt>
                <c:pt idx="271">
                  <c:v>-71.619422227384163</c:v>
                </c:pt>
                <c:pt idx="272">
                  <c:v>-71.293984198021718</c:v>
                </c:pt>
                <c:pt idx="273">
                  <c:v>-70.965553000011838</c:v>
                </c:pt>
                <c:pt idx="274">
                  <c:v>-70.634320033907301</c:v>
                </c:pt>
                <c:pt idx="275">
                  <c:v>-70.300489553206603</c:v>
                </c:pt>
                <c:pt idx="276">
                  <c:v>-69.964278881178188</c:v>
                </c:pt>
                <c:pt idx="277">
                  <c:v>-69.625918591344927</c:v>
                </c:pt>
                <c:pt idx="278">
                  <c:v>-69.285652648272276</c:v>
                </c:pt>
                <c:pt idx="279">
                  <c:v>-68.943738505357459</c:v>
                </c:pt>
                <c:pt idx="280">
                  <c:v>-68.600447156424835</c:v>
                </c:pt>
                <c:pt idx="281">
                  <c:v>-68.256063138069891</c:v>
                </c:pt>
                <c:pt idx="282">
                  <c:v>-67.910884479880863</c:v>
                </c:pt>
                <c:pt idx="283">
                  <c:v>-67.565222599896529</c:v>
                </c:pt>
                <c:pt idx="284">
                  <c:v>-67.219402142927677</c:v>
                </c:pt>
                <c:pt idx="285">
                  <c:v>-66.873760759685112</c:v>
                </c:pt>
                <c:pt idx="286">
                  <c:v>-66.528648825014386</c:v>
                </c:pt>
                <c:pt idx="287">
                  <c:v>-66.184429093928898</c:v>
                </c:pt>
                <c:pt idx="288">
                  <c:v>-65.841476294567059</c:v>
                </c:pt>
                <c:pt idx="289">
                  <c:v>-65.500176657656283</c:v>
                </c:pt>
                <c:pt idx="290">
                  <c:v>-65.160927382559706</c:v>
                </c:pt>
                <c:pt idx="291">
                  <c:v>-64.824136040488156</c:v>
                </c:pt>
                <c:pt idx="292">
                  <c:v>-64.490219915979083</c:v>
                </c:pt>
                <c:pt idx="293">
                  <c:v>-64.159605288284851</c:v>
                </c:pt>
                <c:pt idx="294">
                  <c:v>-63.832726654825095</c:v>
                </c:pt>
                <c:pt idx="295">
                  <c:v>-63.510025899397419</c:v>
                </c:pt>
                <c:pt idx="296">
                  <c:v>-63.191951408329082</c:v>
                </c:pt>
                <c:pt idx="297">
                  <c:v>-62.878957138237801</c:v>
                </c:pt>
                <c:pt idx="298">
                  <c:v>-62.571501639516619</c:v>
                </c:pt>
                <c:pt idx="299">
                  <c:v>-62.270047040059353</c:v>
                </c:pt>
                <c:pt idx="300">
                  <c:v>-61.975057994108163</c:v>
                </c:pt>
                <c:pt idx="301">
                  <c:v>-61.687000601403923</c:v>
                </c:pt>
                <c:pt idx="302">
                  <c:v>-61.406341302074907</c:v>
                </c:pt>
                <c:pt idx="303">
                  <c:v>-61.133545752884096</c:v>
                </c:pt>
                <c:pt idx="304">
                  <c:v>-60.869077690574329</c:v>
                </c:pt>
                <c:pt idx="305">
                  <c:v>-60.613397788114533</c:v>
                </c:pt>
                <c:pt idx="306">
                  <c:v>-60.366962509642853</c:v>
                </c:pt>
                <c:pt idx="307">
                  <c:v>-60.130222969815868</c:v>
                </c:pt>
                <c:pt idx="308">
                  <c:v>-59.903623803166937</c:v>
                </c:pt>
                <c:pt idx="309">
                  <c:v>-59.687602048861258</c:v>
                </c:pt>
                <c:pt idx="310">
                  <c:v>-59.482586056010433</c:v>
                </c:pt>
                <c:pt idx="311">
                  <c:v>-59.288994414419093</c:v>
                </c:pt>
                <c:pt idx="312">
                  <c:v>-59.107234915304531</c:v>
                </c:pt>
                <c:pt idx="313">
                  <c:v>-58.937703546185347</c:v>
                </c:pt>
                <c:pt idx="314">
                  <c:v>-58.780783523747701</c:v>
                </c:pt>
                <c:pt idx="315">
                  <c:v>-58.636844368108434</c:v>
                </c:pt>
                <c:pt idx="316">
                  <c:v>-58.506241021495939</c:v>
                </c:pt>
                <c:pt idx="317">
                  <c:v>-58.389313013969392</c:v>
                </c:pt>
                <c:pt idx="318">
                  <c:v>-58.286383678411461</c:v>
                </c:pt>
                <c:pt idx="319">
                  <c:v>-58.197759416654087</c:v>
                </c:pt>
                <c:pt idx="320">
                  <c:v>-58.123729018259169</c:v>
                </c:pt>
                <c:pt idx="321">
                  <c:v>-58.064563033132771</c:v>
                </c:pt>
                <c:pt idx="322">
                  <c:v>-58.020513198891024</c:v>
                </c:pt>
                <c:pt idx="323">
                  <c:v>-57.991811923619181</c:v>
                </c:pt>
                <c:pt idx="324">
                  <c:v>-57.978671824459653</c:v>
                </c:pt>
                <c:pt idx="325">
                  <c:v>-57.981285322288507</c:v>
                </c:pt>
                <c:pt idx="326">
                  <c:v>-57.999824292597872</c:v>
                </c:pt>
                <c:pt idx="327">
                  <c:v>-58.034439772597572</c:v>
                </c:pt>
                <c:pt idx="328">
                  <c:v>-58.085261724485754</c:v>
                </c:pt>
                <c:pt idx="329">
                  <c:v>-58.152398854800836</c:v>
                </c:pt>
                <c:pt idx="330">
                  <c:v>-58.235938489754325</c:v>
                </c:pt>
                <c:pt idx="331">
                  <c:v>-58.335946506457518</c:v>
                </c:pt>
                <c:pt idx="332">
                  <c:v>-58.452467319989779</c:v>
                </c:pt>
                <c:pt idx="333">
                  <c:v>-58.585523926287379</c:v>
                </c:pt>
                <c:pt idx="334">
                  <c:v>-58.735118000879567</c:v>
                </c:pt>
                <c:pt idx="335">
                  <c:v>-58.901230053545149</c:v>
                </c:pt>
                <c:pt idx="336">
                  <c:v>-59.083819638990931</c:v>
                </c:pt>
                <c:pt idx="337">
                  <c:v>-59.282825623676239</c:v>
                </c:pt>
                <c:pt idx="338">
                  <c:v>-59.498166508911169</c:v>
                </c:pt>
                <c:pt idx="339">
                  <c:v>-59.729740810323278</c:v>
                </c:pt>
                <c:pt idx="340">
                  <c:v>-59.977427493746177</c:v>
                </c:pt>
                <c:pt idx="341">
                  <c:v>-60.241086467483356</c:v>
                </c:pt>
                <c:pt idx="342">
                  <c:v>-60.520559130786388</c:v>
                </c:pt>
                <c:pt idx="343">
                  <c:v>-60.815668978221645</c:v>
                </c:pt>
                <c:pt idx="344">
                  <c:v>-61.126222259399498</c:v>
                </c:pt>
                <c:pt idx="345">
                  <c:v>-61.452008693309061</c:v>
                </c:pt>
                <c:pt idx="346">
                  <c:v>-61.79280223621857</c:v>
                </c:pt>
                <c:pt idx="347">
                  <c:v>-62.14836190179755</c:v>
                </c:pt>
                <c:pt idx="348">
                  <c:v>-62.518432631784272</c:v>
                </c:pt>
                <c:pt idx="349">
                  <c:v>-62.902746215151346</c:v>
                </c:pt>
                <c:pt idx="350">
                  <c:v>-63.301022253343397</c:v>
                </c:pt>
                <c:pt idx="351">
                  <c:v>-63.71296916877003</c:v>
                </c:pt>
                <c:pt idx="352">
                  <c:v>-64.138285253334487</c:v>
                </c:pt>
                <c:pt idx="353">
                  <c:v>-64.576659753375651</c:v>
                </c:pt>
                <c:pt idx="354">
                  <c:v>-65.027773987032404</c:v>
                </c:pt>
                <c:pt idx="355">
                  <c:v>-65.491302489650451</c:v>
                </c:pt>
                <c:pt idx="356">
                  <c:v>-65.966914182531042</c:v>
                </c:pt>
                <c:pt idx="357">
                  <c:v>-66.45427356000404</c:v>
                </c:pt>
                <c:pt idx="358">
                  <c:v>-66.953041889554143</c:v>
                </c:pt>
                <c:pt idx="359">
                  <c:v>-67.462878419512052</c:v>
                </c:pt>
                <c:pt idx="360">
                  <c:v>-67.983441588664974</c:v>
                </c:pt>
                <c:pt idx="361">
                  <c:v>-68.51439023204388</c:v>
                </c:pt>
                <c:pt idx="362">
                  <c:v>-69.055384777104763</c:v>
                </c:pt>
                <c:pt idx="363">
                  <c:v>-69.606088424556404</c:v>
                </c:pt>
                <c:pt idx="364">
                  <c:v>-70.16616830817344</c:v>
                </c:pt>
                <c:pt idx="365">
                  <c:v>-70.735296628094574</c:v>
                </c:pt>
                <c:pt idx="366">
                  <c:v>-71.313151752330938</c:v>
                </c:pt>
                <c:pt idx="367">
                  <c:v>-71.899419281481372</c:v>
                </c:pt>
                <c:pt idx="368">
                  <c:v>-72.493793071996777</c:v>
                </c:pt>
                <c:pt idx="369">
                  <c:v>-73.095976213708298</c:v>
                </c:pt>
                <c:pt idx="370">
                  <c:v>-73.705681957768661</c:v>
                </c:pt>
                <c:pt idx="371">
                  <c:v>-74.322634591621522</c:v>
                </c:pt>
                <c:pt idx="372">
                  <c:v>-74.946570258089977</c:v>
                </c:pt>
                <c:pt idx="373">
                  <c:v>-75.577237716201509</c:v>
                </c:pt>
                <c:pt idx="374">
                  <c:v>-76.214399041876831</c:v>
                </c:pt>
                <c:pt idx="375">
                  <c:v>-76.857830267139875</c:v>
                </c:pt>
                <c:pt idx="376">
                  <c:v>-77.507321957026633</c:v>
                </c:pt>
                <c:pt idx="377">
                  <c:v>-78.162679723877531</c:v>
                </c:pt>
                <c:pt idx="378">
                  <c:v>-78.823724679186085</c:v>
                </c:pt>
                <c:pt idx="379">
                  <c:v>-79.490293823647633</c:v>
                </c:pt>
                <c:pt idx="380">
                  <c:v>-80.162240376478536</c:v>
                </c:pt>
                <c:pt idx="381">
                  <c:v>-80.839434045478399</c:v>
                </c:pt>
                <c:pt idx="382">
                  <c:v>-81.52176123966683</c:v>
                </c:pt>
                <c:pt idx="383">
                  <c:v>-82.20912522664635</c:v>
                </c:pt>
                <c:pt idx="384">
                  <c:v>-82.901446237110804</c:v>
                </c:pt>
                <c:pt idx="385">
                  <c:v>-83.598661519153225</c:v>
                </c:pt>
                <c:pt idx="386">
                  <c:v>-84.300725345203475</c:v>
                </c:pt>
                <c:pt idx="387">
                  <c:v>-85.007608974570871</c:v>
                </c:pt>
                <c:pt idx="388">
                  <c:v>-85.719300574649949</c:v>
                </c:pt>
                <c:pt idx="389">
                  <c:v>-86.435805103905352</c:v>
                </c:pt>
                <c:pt idx="390">
                  <c:v>-87.157144159754338</c:v>
                </c:pt>
                <c:pt idx="391">
                  <c:v>-87.883355794439197</c:v>
                </c:pt>
                <c:pt idx="392">
                  <c:v>-88.614494301911122</c:v>
                </c:pt>
                <c:pt idx="393">
                  <c:v>-89.350629978649152</c:v>
                </c:pt>
                <c:pt idx="394">
                  <c:v>-90.091848861206685</c:v>
                </c:pt>
                <c:pt idx="395">
                  <c:v>-90.838252443116588</c:v>
                </c:pt>
                <c:pt idx="396">
                  <c:v>-91.589957373606794</c:v>
                </c:pt>
                <c:pt idx="397">
                  <c:v>-92.347095140366235</c:v>
                </c:pt>
                <c:pt idx="398">
                  <c:v>-93.109811738380856</c:v>
                </c:pt>
                <c:pt idx="399">
                  <c:v>-93.878267326611464</c:v>
                </c:pt>
                <c:pt idx="400">
                  <c:v>-94.652635874031517</c:v>
                </c:pt>
                <c:pt idx="401">
                  <c:v>-95.433104796266235</c:v>
                </c:pt>
                <c:pt idx="402">
                  <c:v>-96.219874583798955</c:v>
                </c:pt>
                <c:pt idx="403">
                  <c:v>-97.013158422405709</c:v>
                </c:pt>
                <c:pt idx="404">
                  <c:v>-97.813181806193128</c:v>
                </c:pt>
                <c:pt idx="405">
                  <c:v>-98.62018214328539</c:v>
                </c:pt>
                <c:pt idx="406">
                  <c:v>-99.434408353907187</c:v>
                </c:pt>
                <c:pt idx="407">
                  <c:v>-100.25612046026768</c:v>
                </c:pt>
                <c:pt idx="408">
                  <c:v>-101.08558916733196</c:v>
                </c:pt>
                <c:pt idx="409">
                  <c:v>-101.92309543322224</c:v>
                </c:pt>
                <c:pt idx="410">
                  <c:v>-102.76893002764632</c:v>
                </c:pt>
                <c:pt idx="411">
                  <c:v>-103.62339307640501</c:v>
                </c:pt>
                <c:pt idx="412">
                  <c:v>-104.48679358966839</c:v>
                </c:pt>
                <c:pt idx="413">
                  <c:v>-105.35944897135259</c:v>
                </c:pt>
                <c:pt idx="414">
                  <c:v>-106.24168450656043</c:v>
                </c:pt>
                <c:pt idx="415">
                  <c:v>-107.13383282367421</c:v>
                </c:pt>
                <c:pt idx="416">
                  <c:v>-108.03623332732164</c:v>
                </c:pt>
                <c:pt idx="417">
                  <c:v>-108.94923159805042</c:v>
                </c:pt>
                <c:pt idx="418">
                  <c:v>-109.87317875417821</c:v>
                </c:pt>
                <c:pt idx="419">
                  <c:v>-110.808430770908</c:v>
                </c:pt>
                <c:pt idx="420">
                  <c:v>-111.75534775144185</c:v>
                </c:pt>
                <c:pt idx="421">
                  <c:v>-112.71429314446651</c:v>
                </c:pt>
                <c:pt idx="422">
                  <c:v>-113.68563290205726</c:v>
                </c:pt>
                <c:pt idx="423">
                  <c:v>-114.66973457174662</c:v>
                </c:pt>
                <c:pt idx="424">
                  <c:v>-115.66696631622204</c:v>
                </c:pt>
                <c:pt idx="425">
                  <c:v>-116.67769585391106</c:v>
                </c:pt>
                <c:pt idx="426">
                  <c:v>-117.70228931353789</c:v>
                </c:pt>
                <c:pt idx="427">
                  <c:v>-118.74110999565181</c:v>
                </c:pt>
                <c:pt idx="428">
                  <c:v>-119.79451703413275</c:v>
                </c:pt>
                <c:pt idx="429">
                  <c:v>-120.86286395079661</c:v>
                </c:pt>
                <c:pt idx="430">
                  <c:v>-121.94649709645395</c:v>
                </c:pt>
                <c:pt idx="431">
                  <c:v>-123.04575397219823</c:v>
                </c:pt>
                <c:pt idx="432">
                  <c:v>-124.16096142525964</c:v>
                </c:pt>
                <c:pt idx="433">
                  <c:v>-125.2924337145669</c:v>
                </c:pt>
                <c:pt idx="434">
                  <c:v>-126.44047044216204</c:v>
                </c:pt>
                <c:pt idx="435">
                  <c:v>-127.60535434791775</c:v>
                </c:pt>
                <c:pt idx="436">
                  <c:v>-128.78734896656928</c:v>
                </c:pt>
                <c:pt idx="437">
                  <c:v>-129.98669614796762</c:v>
                </c:pt>
                <c:pt idx="438">
                  <c:v>-131.20361344369653</c:v>
                </c:pt>
                <c:pt idx="439">
                  <c:v>-132.43829136577708</c:v>
                </c:pt>
                <c:pt idx="440">
                  <c:v>-133.69089052614166</c:v>
                </c:pt>
                <c:pt idx="441">
                  <c:v>-134.96153866889293</c:v>
                </c:pt>
                <c:pt idx="442">
                  <c:v>-136.25032761103313</c:v>
                </c:pt>
                <c:pt idx="443">
                  <c:v>-137.55731011139079</c:v>
                </c:pt>
                <c:pt idx="444">
                  <c:v>-138.88249669178023</c:v>
                </c:pt>
                <c:pt idx="445">
                  <c:v>-140.22585243898641</c:v>
                </c:pt>
                <c:pt idx="446">
                  <c:v>-141.58729382088046</c:v>
                </c:pt>
                <c:pt idx="447">
                  <c:v>-142.9666855547257</c:v>
                </c:pt>
                <c:pt idx="448">
                  <c:v>-144.36383757041489</c:v>
                </c:pt>
                <c:pt idx="449">
                  <c:v>-145.77850211582466</c:v>
                </c:pt>
                <c:pt idx="450">
                  <c:v>-147.21037105550383</c:v>
                </c:pt>
                <c:pt idx="451">
                  <c:v>-148.65907341734285</c:v>
                </c:pt>
                <c:pt idx="452">
                  <c:v>-150.1241732444833</c:v>
                </c:pt>
                <c:pt idx="453">
                  <c:v>-151.60516781131182</c:v>
                </c:pt>
                <c:pt idx="454">
                  <c:v>-153.10148626269506</c:v>
                </c:pt>
                <c:pt idx="455">
                  <c:v>-154.6124887345207</c:v>
                </c:pt>
                <c:pt idx="456">
                  <c:v>-156.13746601082519</c:v>
                </c:pt>
                <c:pt idx="457">
                  <c:v>-157.6756397683082</c:v>
                </c:pt>
                <c:pt idx="458">
                  <c:v>-159.22616345263782</c:v>
                </c:pt>
                <c:pt idx="459">
                  <c:v>-160.78812382273219</c:v>
                </c:pt>
                <c:pt idx="460">
                  <c:v>-162.36054318914321</c:v>
                </c:pt>
                <c:pt idx="461">
                  <c:v>-163.94238236095725</c:v>
                </c:pt>
                <c:pt idx="462">
                  <c:v>-165.5325443024783</c:v>
                </c:pt>
                <c:pt idx="463">
                  <c:v>-167.12987848669761</c:v>
                </c:pt>
                <c:pt idx="464">
                  <c:v>-168.73318591759005</c:v>
                </c:pt>
                <c:pt idx="465">
                  <c:v>-170.34122477808049</c:v>
                </c:pt>
                <c:pt idx="466">
                  <c:v>-171.95271664562404</c:v>
                </c:pt>
                <c:pt idx="467">
                  <c:v>-173.5663532032666</c:v>
                </c:pt>
                <c:pt idx="468">
                  <c:v>-175.18080336138362</c:v>
                </c:pt>
                <c:pt idx="469">
                  <c:v>-176.7947206945087</c:v>
                </c:pt>
                <c:pt idx="470">
                  <c:v>-178.40675108923023</c:v>
                </c:pt>
                <c:pt idx="471">
                  <c:v>179.98445950657984</c:v>
                </c:pt>
                <c:pt idx="472">
                  <c:v>178.38025734571173</c:v>
                </c:pt>
                <c:pt idx="473">
                  <c:v>176.78197326690548</c:v>
                </c:pt>
                <c:pt idx="474">
                  <c:v>175.19091531227176</c:v>
                </c:pt>
                <c:pt idx="475">
                  <c:v>173.60836167932203</c:v>
                </c:pt>
                <c:pt idx="476">
                  <c:v>172.03555410112207</c:v>
                </c:pt>
                <c:pt idx="477">
                  <c:v>170.47369173687369</c:v>
                </c:pt>
                <c:pt idx="478">
                  <c:v>168.92392564220648</c:v>
                </c:pt>
                <c:pt idx="479">
                  <c:v>167.3873538741702</c:v>
                </c:pt>
                <c:pt idx="480">
                  <c:v>165.86501727090544</c:v>
                </c:pt>
                <c:pt idx="481">
                  <c:v>164.35789593076655</c:v>
                </c:pt>
                <c:pt idx="482">
                  <c:v>162.86690640081218</c:v>
                </c:pt>
                <c:pt idx="483">
                  <c:v>161.39289957050406</c:v>
                </c:pt>
                <c:pt idx="484">
                  <c:v>159.93665925357348</c:v>
                </c:pt>
                <c:pt idx="485">
                  <c:v>158.49890142961516</c:v>
                </c:pt>
                <c:pt idx="486">
                  <c:v>157.08027410727371</c:v>
                </c:pt>
                <c:pt idx="487">
                  <c:v>155.68135776302364</c:v>
                </c:pt>
                <c:pt idx="488">
                  <c:v>154.30266630356351</c:v>
                </c:pt>
                <c:pt idx="489">
                  <c:v>152.94464849566819</c:v>
                </c:pt>
                <c:pt idx="490">
                  <c:v>151.60768980496303</c:v>
                </c:pt>
                <c:pt idx="491">
                  <c:v>150.29211458424092</c:v>
                </c:pt>
                <c:pt idx="492">
                  <c:v>148.99818855255322</c:v>
                </c:pt>
                <c:pt idx="493">
                  <c:v>147.72612150809809</c:v>
                </c:pt>
                <c:pt idx="494">
                  <c:v>146.47607022072168</c:v>
                </c:pt>
                <c:pt idx="495">
                  <c:v>145.24814145340019</c:v>
                </c:pt>
                <c:pt idx="496">
                  <c:v>144.04239506620118</c:v>
                </c:pt>
                <c:pt idx="497">
                  <c:v>142.85884716070976</c:v>
                </c:pt>
                <c:pt idx="498">
                  <c:v>141.69747322760864</c:v>
                </c:pt>
                <c:pt idx="499">
                  <c:v>140.55821126484025</c:v>
                </c:pt>
                <c:pt idx="500">
                  <c:v>139.44096483845652</c:v>
                </c:pt>
                <c:pt idx="501">
                  <c:v>138.34560606276463</c:v>
                </c:pt>
                <c:pt idx="502">
                  <c:v>137.27197848062394</c:v>
                </c:pt>
                <c:pt idx="503">
                  <c:v>136.21989982869798</c:v>
                </c:pt>
                <c:pt idx="504">
                  <c:v>135.18916467606826</c:v>
                </c:pt>
                <c:pt idx="505">
                  <c:v>134.17954692785327</c:v>
                </c:pt>
                <c:pt idx="506">
                  <c:v>133.19080218834779</c:v>
                </c:pt>
                <c:pt idx="507">
                  <c:v>132.22266998070245</c:v>
                </c:pt>
                <c:pt idx="508">
                  <c:v>131.27487582231143</c:v>
                </c:pt>
                <c:pt idx="509">
                  <c:v>130.34713315689311</c:v>
                </c:pt>
                <c:pt idx="510">
                  <c:v>129.43914514576116</c:v>
                </c:pt>
                <c:pt idx="511">
                  <c:v>128.55060632199675</c:v>
                </c:pt>
                <c:pt idx="512">
                  <c:v>127.6812041122099</c:v>
                </c:pt>
                <c:pt idx="513">
                  <c:v>126.83062023131457</c:v>
                </c:pt>
                <c:pt idx="514">
                  <c:v>125.99853195628405</c:v>
                </c:pt>
                <c:pt idx="515">
                  <c:v>125.18461328522486</c:v>
                </c:pt>
                <c:pt idx="516">
                  <c:v>124.38853598832512</c:v>
                </c:pt>
                <c:pt idx="517">
                  <c:v>123.60997055733817</c:v>
                </c:pt>
                <c:pt idx="518">
                  <c:v>122.84858706025062</c:v>
                </c:pt>
                <c:pt idx="519">
                  <c:v>122.10405590770002</c:v>
                </c:pt>
                <c:pt idx="520">
                  <c:v>121.37604853754947</c:v>
                </c:pt>
                <c:pt idx="521">
                  <c:v>120.66423802381802</c:v>
                </c:pt>
                <c:pt idx="522">
                  <c:v>119.96829961592208</c:v>
                </c:pt>
                <c:pt idx="523">
                  <c:v>119.28791121390113</c:v>
                </c:pt>
                <c:pt idx="524">
                  <c:v>118.62275378500779</c:v>
                </c:pt>
                <c:pt idx="525">
                  <c:v>117.97251172674231</c:v>
                </c:pt>
                <c:pt idx="526">
                  <c:v>117.336873181087</c:v>
                </c:pt>
                <c:pt idx="527">
                  <c:v>116.71553030439624</c:v>
                </c:pt>
                <c:pt idx="528">
                  <c:v>116.108179497086</c:v>
                </c:pt>
                <c:pt idx="529">
                  <c:v>115.51452159696073</c:v>
                </c:pt>
                <c:pt idx="530">
                  <c:v>114.93426203974791</c:v>
                </c:pt>
                <c:pt idx="531">
                  <c:v>114.36711099009899</c:v>
                </c:pt>
                <c:pt idx="532">
                  <c:v>113.81278344608957</c:v>
                </c:pt>
                <c:pt idx="533">
                  <c:v>113.27099931996867</c:v>
                </c:pt>
                <c:pt idx="534">
                  <c:v>112.74148349769824</c:v>
                </c:pt>
                <c:pt idx="535">
                  <c:v>112.22396587958526</c:v>
                </c:pt>
                <c:pt idx="536">
                  <c:v>111.71818140411473</c:v>
                </c:pt>
                <c:pt idx="537">
                  <c:v>111.22387005689325</c:v>
                </c:pt>
                <c:pt idx="538">
                  <c:v>110.74077686644441</c:v>
                </c:pt>
                <c:pt idx="539">
                  <c:v>110.26865188842298</c:v>
                </c:pt>
                <c:pt idx="540">
                  <c:v>109.80725017967491</c:v>
                </c:pt>
                <c:pt idx="541">
                  <c:v>109.35633176342523</c:v>
                </c:pt>
              </c:numCache>
            </c:numRef>
          </c:yVal>
          <c:smooth val="1"/>
          <c:extLst>
            <c:ext xmlns:c16="http://schemas.microsoft.com/office/drawing/2014/chart" uri="{C3380CC4-5D6E-409C-BE32-E72D297353CC}">
              <c16:uniqueId val="{00000001-69E5-488F-8178-EA81D5C894E7}"/>
            </c:ext>
          </c:extLst>
        </c:ser>
        <c:dLbls>
          <c:showLegendKey val="0"/>
          <c:showVal val="0"/>
          <c:showCatName val="0"/>
          <c:showSerName val="0"/>
          <c:showPercent val="0"/>
          <c:showBubbleSize val="0"/>
        </c:dLbls>
        <c:axId val="555250048"/>
        <c:axId val="555235968"/>
      </c:scatterChart>
      <c:valAx>
        <c:axId val="55523187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234048"/>
        <c:crosses val="autoZero"/>
        <c:crossBetween val="midCat"/>
      </c:valAx>
      <c:valAx>
        <c:axId val="55523404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31872"/>
        <c:crosses val="autoZero"/>
        <c:crossBetween val="midCat"/>
        <c:majorUnit val="20"/>
        <c:minorUnit val="10"/>
      </c:valAx>
      <c:valAx>
        <c:axId val="555235968"/>
        <c:scaling>
          <c:orientation val="minMax"/>
          <c:max val="180"/>
          <c:min val="-180"/>
        </c:scaling>
        <c:delete val="0"/>
        <c:axPos val="r"/>
        <c:numFmt formatCode="General" sourceLinked="1"/>
        <c:majorTickMark val="out"/>
        <c:minorTickMark val="none"/>
        <c:tickLblPos val="nextTo"/>
        <c:crossAx val="555250048"/>
        <c:crosses val="max"/>
        <c:crossBetween val="midCat"/>
        <c:majorUnit val="90"/>
        <c:minorUnit val="45"/>
      </c:valAx>
      <c:valAx>
        <c:axId val="555250048"/>
        <c:scaling>
          <c:logBase val="10"/>
          <c:orientation val="minMax"/>
        </c:scaling>
        <c:delete val="1"/>
        <c:axPos val="b"/>
        <c:numFmt formatCode="0.00" sourceLinked="1"/>
        <c:majorTickMark val="out"/>
        <c:minorTickMark val="none"/>
        <c:tickLblPos val="nextTo"/>
        <c:crossAx val="555235968"/>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44.564488295447617</c:v>
                </c:pt>
                <c:pt idx="1">
                  <c:v>44.364580351962736</c:v>
                </c:pt>
                <c:pt idx="2">
                  <c:v>44.164676744874363</c:v>
                </c:pt>
                <c:pt idx="3">
                  <c:v>43.96477767834871</c:v>
                </c:pt>
                <c:pt idx="4">
                  <c:v>43.764883366154749</c:v>
                </c:pt>
                <c:pt idx="5">
                  <c:v>43.564994032114569</c:v>
                </c:pt>
                <c:pt idx="6">
                  <c:v>43.365109910575164</c:v>
                </c:pt>
                <c:pt idx="7">
                  <c:v>43.165231246902529</c:v>
                </c:pt>
                <c:pt idx="8">
                  <c:v>42.965358297998115</c:v>
                </c:pt>
                <c:pt idx="9">
                  <c:v>42.765491332840057</c:v>
                </c:pt>
                <c:pt idx="10">
                  <c:v>42.565630633049309</c:v>
                </c:pt>
                <c:pt idx="11">
                  <c:v>42.365776493481953</c:v>
                </c:pt>
                <c:pt idx="12">
                  <c:v>42.165929222849783</c:v>
                </c:pt>
                <c:pt idx="13">
                  <c:v>41.966089144369093</c:v>
                </c:pt>
                <c:pt idx="14">
                  <c:v>41.766256596440066</c:v>
                </c:pt>
                <c:pt idx="15">
                  <c:v>41.566431933357876</c:v>
                </c:pt>
                <c:pt idx="16">
                  <c:v>41.366615526056151</c:v>
                </c:pt>
                <c:pt idx="17">
                  <c:v>41.166807762885867</c:v>
                </c:pt>
                <c:pt idx="18">
                  <c:v>40.967009050430079</c:v>
                </c:pt>
                <c:pt idx="19">
                  <c:v>40.767219814356032</c:v>
                </c:pt>
                <c:pt idx="20">
                  <c:v>40.567440500307292</c:v>
                </c:pt>
                <c:pt idx="21">
                  <c:v>40.367671574837118</c:v>
                </c:pt>
                <c:pt idx="22">
                  <c:v>40.167913526384964</c:v>
                </c:pt>
                <c:pt idx="23">
                  <c:v>39.968166866298048</c:v>
                </c:pt>
                <c:pt idx="24">
                  <c:v>39.768432129900276</c:v>
                </c:pt>
                <c:pt idx="25">
                  <c:v>39.568709877610509</c:v>
                </c:pt>
                <c:pt idx="26">
                  <c:v>39.36900069611211</c:v>
                </c:pt>
                <c:pt idx="27">
                  <c:v>39.169305199576989</c:v>
                </c:pt>
                <c:pt idx="28">
                  <c:v>38.969624030945326</c:v>
                </c:pt>
                <c:pt idx="29">
                  <c:v>38.769957863264509</c:v>
                </c:pt>
                <c:pt idx="30">
                  <c:v>38.570307401089352</c:v>
                </c:pt>
                <c:pt idx="31">
                  <c:v>38.370673381946624</c:v>
                </c:pt>
                <c:pt idx="32">
                  <c:v>38.17105657786675</c:v>
                </c:pt>
                <c:pt idx="33">
                  <c:v>37.971457796985128</c:v>
                </c:pt>
                <c:pt idx="34">
                  <c:v>37.77187788521708</c:v>
                </c:pt>
                <c:pt idx="35">
                  <c:v>37.572317728009025</c:v>
                </c:pt>
                <c:pt idx="36">
                  <c:v>37.372778252168992</c:v>
                </c:pt>
                <c:pt idx="37">
                  <c:v>37.173260427780782</c:v>
                </c:pt>
                <c:pt idx="38">
                  <c:v>36.973765270204865</c:v>
                </c:pt>
                <c:pt idx="39">
                  <c:v>36.774293842169634</c:v>
                </c:pt>
                <c:pt idx="40">
                  <c:v>36.574847255957494</c:v>
                </c:pt>
                <c:pt idx="41">
                  <c:v>36.375426675689106</c:v>
                </c:pt>
                <c:pt idx="42">
                  <c:v>36.176033319711081</c:v>
                </c:pt>
                <c:pt idx="43">
                  <c:v>35.976668463089972</c:v>
                </c:pt>
                <c:pt idx="44">
                  <c:v>35.777333440219003</c:v>
                </c:pt>
                <c:pt idx="45">
                  <c:v>35.578029647540326</c:v>
                </c:pt>
                <c:pt idx="46">
                  <c:v>35.378758546389165</c:v>
                </c:pt>
                <c:pt idx="47">
                  <c:v>35.179521665964245</c:v>
                </c:pt>
                <c:pt idx="48">
                  <c:v>34.980320606429586</c:v>
                </c:pt>
                <c:pt idx="49">
                  <c:v>34.781157042153609</c:v>
                </c:pt>
                <c:pt idx="50">
                  <c:v>34.582032725090805</c:v>
                </c:pt>
                <c:pt idx="51">
                  <c:v>34.382949488311439</c:v>
                </c:pt>
                <c:pt idx="52">
                  <c:v>34.183909249686181</c:v>
                </c:pt>
                <c:pt idx="53">
                  <c:v>33.98491401573073</c:v>
                </c:pt>
                <c:pt idx="54">
                  <c:v>33.785965885617586</c:v>
                </c:pt>
                <c:pt idx="55">
                  <c:v>33.587067055360748</c:v>
                </c:pt>
                <c:pt idx="56">
                  <c:v>33.388219822180815</c:v>
                </c:pt>
                <c:pt idx="57">
                  <c:v>33.189426589056758</c:v>
                </c:pt>
                <c:pt idx="58">
                  <c:v>32.990689869471737</c:v>
                </c:pt>
                <c:pt idx="59">
                  <c:v>32.792012292359601</c:v>
                </c:pt>
                <c:pt idx="60">
                  <c:v>32.593396607260871</c:v>
                </c:pt>
                <c:pt idx="61">
                  <c:v>32.394845689693497</c:v>
                </c:pt>
                <c:pt idx="62">
                  <c:v>32.196362546748333</c:v>
                </c:pt>
                <c:pt idx="63">
                  <c:v>31.997950322915646</c:v>
                </c:pt>
                <c:pt idx="64">
                  <c:v>31.799612306151282</c:v>
                </c:pt>
                <c:pt idx="65">
                  <c:v>31.601351934190109</c:v>
                </c:pt>
                <c:pt idx="66">
                  <c:v>31.403172801115264</c:v>
                </c:pt>
                <c:pt idx="67">
                  <c:v>31.205078664191074</c:v>
                </c:pt>
                <c:pt idx="68">
                  <c:v>31.007073450967852</c:v>
                </c:pt>
                <c:pt idx="69">
                  <c:v>30.809161266667235</c:v>
                </c:pt>
                <c:pt idx="70">
                  <c:v>30.611346401855698</c:v>
                </c:pt>
                <c:pt idx="71">
                  <c:v>30.413633340414677</c:v>
                </c:pt>
                <c:pt idx="72">
                  <c:v>30.216026767815315</c:v>
                </c:pt>
                <c:pt idx="73">
                  <c:v>30.018531579705922</c:v>
                </c:pt>
                <c:pt idx="74">
                  <c:v>29.821152890819551</c:v>
                </c:pt>
                <c:pt idx="75">
                  <c:v>29.623896044209317</c:v>
                </c:pt>
                <c:pt idx="76">
                  <c:v>29.426766620818672</c:v>
                </c:pt>
                <c:pt idx="77">
                  <c:v>29.229770449393232</c:v>
                </c:pt>
                <c:pt idx="78">
                  <c:v>29.032913616741169</c:v>
                </c:pt>
                <c:pt idx="79">
                  <c:v>28.836202478346522</c:v>
                </c:pt>
                <c:pt idx="80">
                  <c:v>28.639643669342494</c:v>
                </c:pt>
                <c:pt idx="81">
                  <c:v>28.443244115847513</c:v>
                </c:pt>
                <c:pt idx="82">
                  <c:v>28.247011046669137</c:v>
                </c:pt>
                <c:pt idx="83">
                  <c:v>28.050952005376857</c:v>
                </c:pt>
                <c:pt idx="84">
                  <c:v>27.855074862747312</c:v>
                </c:pt>
                <c:pt idx="85">
                  <c:v>27.659387829580705</c:v>
                </c:pt>
                <c:pt idx="86">
                  <c:v>27.463899469888425</c:v>
                </c:pt>
                <c:pt idx="87">
                  <c:v>27.268618714448923</c:v>
                </c:pt>
                <c:pt idx="88">
                  <c:v>27.073554874727748</c:v>
                </c:pt>
                <c:pt idx="89">
                  <c:v>26.878717657156521</c:v>
                </c:pt>
                <c:pt idx="90">
                  <c:v>26.684117177760946</c:v>
                </c:pt>
                <c:pt idx="91">
                  <c:v>26.489763977129549</c:v>
                </c:pt>
                <c:pt idx="92">
                  <c:v>26.295669035708542</c:v>
                </c:pt>
                <c:pt idx="93">
                  <c:v>26.101843789408079</c:v>
                </c:pt>
                <c:pt idx="94">
                  <c:v>25.908300145501315</c:v>
                </c:pt>
                <c:pt idx="95">
                  <c:v>25.715050498793385</c:v>
                </c:pt>
                <c:pt idx="96">
                  <c:v>25.522107748035921</c:v>
                </c:pt>
                <c:pt idx="97">
                  <c:v>25.329485312557672</c:v>
                </c:pt>
                <c:pt idx="98">
                  <c:v>25.137197149076304</c:v>
                </c:pt>
                <c:pt idx="99">
                  <c:v>24.945257768655903</c:v>
                </c:pt>
                <c:pt idx="100">
                  <c:v>24.753682253765529</c:v>
                </c:pt>
                <c:pt idx="101">
                  <c:v>24.562486275391805</c:v>
                </c:pt>
                <c:pt idx="102">
                  <c:v>24.371686110152069</c:v>
                </c:pt>
                <c:pt idx="103">
                  <c:v>24.181298657349508</c:v>
                </c:pt>
                <c:pt idx="104">
                  <c:v>23.991341455904582</c:v>
                </c:pt>
                <c:pt idx="105">
                  <c:v>23.801832701091122</c:v>
                </c:pt>
                <c:pt idx="106">
                  <c:v>23.612791260999035</c:v>
                </c:pt>
                <c:pt idx="107">
                  <c:v>23.424236692637788</c:v>
                </c:pt>
                <c:pt idx="108">
                  <c:v>23.236189257588173</c:v>
                </c:pt>
                <c:pt idx="109">
                  <c:v>23.048669937100719</c:v>
                </c:pt>
                <c:pt idx="110">
                  <c:v>22.86170044653327</c:v>
                </c:pt>
                <c:pt idx="111">
                  <c:v>22.675303249010199</c:v>
                </c:pt>
                <c:pt idx="112">
                  <c:v>22.489501568178859</c:v>
                </c:pt>
                <c:pt idx="113">
                  <c:v>22.304319399929465</c:v>
                </c:pt>
                <c:pt idx="114">
                  <c:v>22.119781522936108</c:v>
                </c:pt>
                <c:pt idx="115">
                  <c:v>21.935913507870033</c:v>
                </c:pt>
                <c:pt idx="116">
                  <c:v>21.752741725124505</c:v>
                </c:pt>
                <c:pt idx="117">
                  <c:v>21.570293350886637</c:v>
                </c:pt>
                <c:pt idx="118">
                  <c:v>21.388596371380451</c:v>
                </c:pt>
                <c:pt idx="119">
                  <c:v>21.207679585099925</c:v>
                </c:pt>
                <c:pt idx="120">
                  <c:v>21.027572602843904</c:v>
                </c:pt>
                <c:pt idx="121">
                  <c:v>20.848305845358507</c:v>
                </c:pt>
                <c:pt idx="122">
                  <c:v>20.669910538387629</c:v>
                </c:pt>
                <c:pt idx="123">
                  <c:v>20.492418704928266</c:v>
                </c:pt>
                <c:pt idx="124">
                  <c:v>20.315863154485712</c:v>
                </c:pt>
                <c:pt idx="125">
                  <c:v>20.140277469120193</c:v>
                </c:pt>
                <c:pt idx="126">
                  <c:v>19.965695986079851</c:v>
                </c:pt>
                <c:pt idx="127">
                  <c:v>19.792153776815347</c:v>
                </c:pt>
                <c:pt idx="128">
                  <c:v>19.619686622176371</c:v>
                </c:pt>
                <c:pt idx="129">
                  <c:v>19.448330983597817</c:v>
                </c:pt>
                <c:pt idx="130">
                  <c:v>19.278123970091706</c:v>
                </c:pt>
                <c:pt idx="131">
                  <c:v>19.109103300873944</c:v>
                </c:pt>
                <c:pt idx="132">
                  <c:v>18.941307263469149</c:v>
                </c:pt>
                <c:pt idx="133">
                  <c:v>18.774774667155594</c:v>
                </c:pt>
                <c:pt idx="134">
                  <c:v>18.609544791632974</c:v>
                </c:pt>
                <c:pt idx="135">
                  <c:v>18.445657330820989</c:v>
                </c:pt>
                <c:pt idx="136">
                  <c:v>18.28315233172351</c:v>
                </c:pt>
                <c:pt idx="137">
                  <c:v>18.122070128326673</c:v>
                </c:pt>
                <c:pt idx="138">
                  <c:v>17.962451270531567</c:v>
                </c:pt>
                <c:pt idx="139">
                  <c:v>17.804336448162612</c:v>
                </c:pt>
                <c:pt idx="140">
                  <c:v>17.647766410132167</c:v>
                </c:pt>
                <c:pt idx="141">
                  <c:v>17.492781878888152</c:v>
                </c:pt>
                <c:pt idx="142">
                  <c:v>17.339423460316095</c:v>
                </c:pt>
                <c:pt idx="143">
                  <c:v>17.187731549318951</c:v>
                </c:pt>
                <c:pt idx="144">
                  <c:v>17.037746231346343</c:v>
                </c:pt>
                <c:pt idx="145">
                  <c:v>16.889507180199026</c:v>
                </c:pt>
                <c:pt idx="146">
                  <c:v>16.743053552487059</c:v>
                </c:pt>
                <c:pt idx="147">
                  <c:v>16.598423879172294</c:v>
                </c:pt>
                <c:pt idx="148">
                  <c:v>16.455655954678861</c:v>
                </c:pt>
                <c:pt idx="149">
                  <c:v>16.314786724105598</c:v>
                </c:pt>
                <c:pt idx="150">
                  <c:v>16.175852169122205</c:v>
                </c:pt>
                <c:pt idx="151">
                  <c:v>16.038887193176091</c:v>
                </c:pt>
                <c:pt idx="152">
                  <c:v>15.903925506677121</c:v>
                </c:pt>
                <c:pt idx="153">
                  <c:v>15.770999512863042</c:v>
                </c:pt>
                <c:pt idx="154">
                  <c:v>15.640140195077134</c:v>
                </c:pt>
                <c:pt idx="155">
                  <c:v>15.511377006212498</c:v>
                </c:pt>
                <c:pt idx="156">
                  <c:v>15.384737761092426</c:v>
                </c:pt>
                <c:pt idx="157">
                  <c:v>15.260248532561986</c:v>
                </c:pt>
                <c:pt idx="158">
                  <c:v>15.137933552064482</c:v>
                </c:pt>
                <c:pt idx="159">
                  <c:v>15.017815115464114</c:v>
                </c:pt>
                <c:pt idx="160">
                  <c:v>14.899913494855623</c:v>
                </c:pt>
                <c:pt idx="161">
                  <c:v>14.784246857070755</c:v>
                </c:pt>
                <c:pt idx="162">
                  <c:v>14.670831189551139</c:v>
                </c:pt>
                <c:pt idx="163">
                  <c:v>14.559680234207713</c:v>
                </c:pt>
                <c:pt idx="164">
                  <c:v>14.450805429828923</c:v>
                </c:pt>
                <c:pt idx="165">
                  <c:v>14.344215863532705</c:v>
                </c:pt>
                <c:pt idx="166">
                  <c:v>14.23991823168503</c:v>
                </c:pt>
                <c:pt idx="167">
                  <c:v>14.137916810626294</c:v>
                </c:pt>
                <c:pt idx="168">
                  <c:v>14.038213437462961</c:v>
                </c:pt>
                <c:pt idx="169">
                  <c:v>13.940807501092003</c:v>
                </c:pt>
                <c:pt idx="170">
                  <c:v>13.845695943534615</c:v>
                </c:pt>
                <c:pt idx="171">
                  <c:v>13.752873271562169</c:v>
                </c:pt>
                <c:pt idx="172">
                  <c:v>13.662331578505908</c:v>
                </c:pt>
                <c:pt idx="173">
                  <c:v>13.574060576049895</c:v>
                </c:pt>
                <c:pt idx="174">
                  <c:v>13.488047635718591</c:v>
                </c:pt>
                <c:pt idx="175">
                  <c:v>13.404277839688897</c:v>
                </c:pt>
                <c:pt idx="176">
                  <c:v>13.322734040476373</c:v>
                </c:pt>
                <c:pt idx="177">
                  <c:v>13.243396928975022</c:v>
                </c:pt>
                <c:pt idx="178">
                  <c:v>13.1662451102661</c:v>
                </c:pt>
                <c:pt idx="179">
                  <c:v>13.091255186556541</c:v>
                </c:pt>
                <c:pt idx="180">
                  <c:v>13.018401846560725</c:v>
                </c:pt>
                <c:pt idx="181">
                  <c:v>12.947657960602132</c:v>
                </c:pt>
                <c:pt idx="182">
                  <c:v>12.878994680684084</c:v>
                </c:pt>
                <c:pt idx="183">
                  <c:v>12.812381544761697</c:v>
                </c:pt>
                <c:pt idx="184">
                  <c:v>12.747786584437041</c:v>
                </c:pt>
                <c:pt idx="185">
                  <c:v>12.685176435301353</c:v>
                </c:pt>
                <c:pt idx="186">
                  <c:v>12.624516449157895</c:v>
                </c:pt>
                <c:pt idx="187">
                  <c:v>12.565770807374774</c:v>
                </c:pt>
                <c:pt idx="188">
                  <c:v>12.508902634643093</c:v>
                </c:pt>
                <c:pt idx="189">
                  <c:v>12.453874112447476</c:v>
                </c:pt>
                <c:pt idx="190">
                  <c:v>12.400646591591631</c:v>
                </c:pt>
                <c:pt idx="191">
                  <c:v>12.349180703165281</c:v>
                </c:pt>
                <c:pt idx="192">
                  <c:v>12.299436467383442</c:v>
                </c:pt>
                <c:pt idx="193">
                  <c:v>12.251373399778299</c:v>
                </c:pt>
                <c:pt idx="194">
                  <c:v>12.20495061427606</c:v>
                </c:pt>
                <c:pt idx="195">
                  <c:v>12.160126922741732</c:v>
                </c:pt>
                <c:pt idx="196">
                  <c:v>12.116860930629374</c:v>
                </c:pt>
                <c:pt idx="197">
                  <c:v>12.075111128427348</c:v>
                </c:pt>
                <c:pt idx="198">
                  <c:v>12.034835978640157</c:v>
                </c:pt>
                <c:pt idx="199">
                  <c:v>11.995993998098394</c:v>
                </c:pt>
                <c:pt idx="200">
                  <c:v>11.958543835437375</c:v>
                </c:pt>
                <c:pt idx="201">
                  <c:v>11.922444343630993</c:v>
                </c:pt>
                <c:pt idx="202">
                  <c:v>11.887654647509034</c:v>
                </c:pt>
                <c:pt idx="203">
                  <c:v>11.854134206229276</c:v>
                </c:pt>
                <c:pt idx="204">
                  <c:v>11.821842870709336</c:v>
                </c:pt>
                <c:pt idx="205">
                  <c:v>11.790740936059414</c:v>
                </c:pt>
                <c:pt idx="206">
                  <c:v>11.760789189085559</c:v>
                </c:pt>
                <c:pt idx="207">
                  <c:v>11.731948950960804</c:v>
                </c:pt>
                <c:pt idx="208">
                  <c:v>11.70418211518478</c:v>
                </c:pt>
                <c:pt idx="209">
                  <c:v>11.677451180971081</c:v>
                </c:pt>
                <c:pt idx="210">
                  <c:v>11.651719282221087</c:v>
                </c:pt>
                <c:pt idx="211">
                  <c:v>11.626950212253409</c:v>
                </c:pt>
                <c:pt idx="212">
                  <c:v>11.603108444473381</c:v>
                </c:pt>
                <c:pt idx="213">
                  <c:v>11.580159149170157</c:v>
                </c:pt>
                <c:pt idx="214">
                  <c:v>11.55806820663951</c:v>
                </c:pt>
                <c:pt idx="215">
                  <c:v>11.536802216831525</c:v>
                </c:pt>
                <c:pt idx="216">
                  <c:v>11.516328505723557</c:v>
                </c:pt>
                <c:pt idx="217">
                  <c:v>11.496615128620938</c:v>
                </c:pt>
                <c:pt idx="218">
                  <c:v>11.477630870583608</c:v>
                </c:pt>
                <c:pt idx="219">
                  <c:v>11.459345244174417</c:v>
                </c:pt>
                <c:pt idx="220">
                  <c:v>11.441728484721331</c:v>
                </c:pt>
                <c:pt idx="221">
                  <c:v>11.42475154327869</c:v>
                </c:pt>
                <c:pt idx="222">
                  <c:v>11.40838607746667</c:v>
                </c:pt>
                <c:pt idx="223">
                  <c:v>11.392604440363048</c:v>
                </c:pt>
                <c:pt idx="224">
                  <c:v>11.377379667609741</c:v>
                </c:pt>
                <c:pt idx="225">
                  <c:v>11.362685462892685</c:v>
                </c:pt>
                <c:pt idx="226">
                  <c:v>11.348496181943181</c:v>
                </c:pt>
                <c:pt idx="227">
                  <c:v>11.334786815199694</c:v>
                </c:pt>
                <c:pt idx="228">
                  <c:v>11.321532969262638</c:v>
                </c:pt>
                <c:pt idx="229">
                  <c:v>11.308710847264836</c:v>
                </c:pt>
                <c:pt idx="230">
                  <c:v>11.296297228270813</c:v>
                </c:pt>
                <c:pt idx="231">
                  <c:v>11.284269445812495</c:v>
                </c:pt>
                <c:pt idx="232">
                  <c:v>11.272605365657553</c:v>
                </c:pt>
                <c:pt idx="233">
                  <c:v>11.261283362901541</c:v>
                </c:pt>
                <c:pt idx="234">
                  <c:v>11.250282298464651</c:v>
                </c:pt>
                <c:pt idx="235">
                  <c:v>11.239581495069347</c:v>
                </c:pt>
                <c:pt idx="236">
                  <c:v>11.229160712765218</c:v>
                </c:pt>
                <c:pt idx="237">
                  <c:v>11.219000124063275</c:v>
                </c:pt>
                <c:pt idx="238">
                  <c:v>11.209080288734352</c:v>
                </c:pt>
                <c:pt idx="239">
                  <c:v>11.199382128320515</c:v>
                </c:pt>
                <c:pt idx="240">
                  <c:v>11.189886900401945</c:v>
                </c:pt>
                <c:pt idx="241">
                  <c:v>11.180576172660073</c:v>
                </c:pt>
                <c:pt idx="242">
                  <c:v>11.171431796767884</c:v>
                </c:pt>
                <c:pt idx="243">
                  <c:v>11.162435882138199</c:v>
                </c:pt>
                <c:pt idx="244">
                  <c:v>11.15357076955493</c:v>
                </c:pt>
                <c:pt idx="245">
                  <c:v>11.144819004708859</c:v>
                </c:pt>
                <c:pt idx="246">
                  <c:v>11.13616331165691</c:v>
                </c:pt>
                <c:pt idx="247">
                  <c:v>11.127586566219934</c:v>
                </c:pt>
                <c:pt idx="248">
                  <c:v>11.119071769333233</c:v>
                </c:pt>
                <c:pt idx="249">
                  <c:v>11.110602020360385</c:v>
                </c:pt>
                <c:pt idx="250">
                  <c:v>11.102160490380923</c:v>
                </c:pt>
                <c:pt idx="251">
                  <c:v>11.093730395458541</c:v>
                </c:pt>
                <c:pt idx="252">
                  <c:v>11.085294969899099</c:v>
                </c:pt>
                <c:pt idx="253">
                  <c:v>11.076837439503645</c:v>
                </c:pt>
                <c:pt idx="254">
                  <c:v>11.068340994823702</c:v>
                </c:pt>
                <c:pt idx="255">
                  <c:v>11.059788764425249</c:v>
                </c:pt>
                <c:pt idx="256">
                  <c:v>11.051163788168115</c:v>
                </c:pt>
                <c:pt idx="257">
                  <c:v>11.042448990509365</c:v>
                </c:pt>
                <c:pt idx="258">
                  <c:v>11.033627153839342</c:v>
                </c:pt>
                <c:pt idx="259">
                  <c:v>11.024680891860601</c:v>
                </c:pt>
                <c:pt idx="260">
                  <c:v>11.01559262302345</c:v>
                </c:pt>
                <c:pt idx="261">
                  <c:v>11.006344544031512</c:v>
                </c:pt>
                <c:pt idx="262">
                  <c:v>10.996918603436058</c:v>
                </c:pt>
                <c:pt idx="263">
                  <c:v>10.987296475338876</c:v>
                </c:pt>
                <c:pt idx="264">
                  <c:v>10.977459533227901</c:v>
                </c:pt>
                <c:pt idx="265">
                  <c:v>10.967388823973565</c:v>
                </c:pt>
                <c:pt idx="266">
                  <c:v>10.957065042017248</c:v>
                </c:pt>
                <c:pt idx="267">
                  <c:v>10.946468503789264</c:v>
                </c:pt>
                <c:pt idx="268">
                  <c:v>10.935579122397147</c:v>
                </c:pt>
                <c:pt idx="269">
                  <c:v>10.924376382631678</c:v>
                </c:pt>
                <c:pt idx="270">
                  <c:v>10.912839316342568</c:v>
                </c:pt>
                <c:pt idx="271">
                  <c:v>10.900946478244373</c:v>
                </c:pt>
                <c:pt idx="272">
                  <c:v>10.888675922215437</c:v>
                </c:pt>
                <c:pt idx="273">
                  <c:v>10.87600517816432</c:v>
                </c:pt>
                <c:pt idx="274">
                  <c:v>10.862911229542107</c:v>
                </c:pt>
                <c:pt idx="275">
                  <c:v>10.849370491587349</c:v>
                </c:pt>
                <c:pt idx="276">
                  <c:v>10.835358790400003</c:v>
                </c:pt>
                <c:pt idx="277">
                  <c:v>10.8208513429447</c:v>
                </c:pt>
                <c:pt idx="278">
                  <c:v>10.805822738097543</c:v>
                </c:pt>
                <c:pt idx="279">
                  <c:v>10.79024691885326</c:v>
                </c:pt>
                <c:pt idx="280">
                  <c:v>10.774097165823775</c:v>
                </c:pt>
                <c:pt idx="281">
                  <c:v>10.757346082162409</c:v>
                </c:pt>
                <c:pt idx="282">
                  <c:v>10.739965580060897</c:v>
                </c:pt>
                <c:pt idx="283">
                  <c:v>10.721926868972414</c:v>
                </c:pt>
                <c:pt idx="284">
                  <c:v>10.703200445722452</c:v>
                </c:pt>
                <c:pt idx="285">
                  <c:v>10.683756086676993</c:v>
                </c:pt>
                <c:pt idx="286">
                  <c:v>10.663562842146288</c:v>
                </c:pt>
                <c:pt idx="287">
                  <c:v>10.642589033205743</c:v>
                </c:pt>
                <c:pt idx="288">
                  <c:v>10.620802251125163</c:v>
                </c:pt>
                <c:pt idx="289">
                  <c:v>10.598169359600462</c:v>
                </c:pt>
                <c:pt idx="290">
                  <c:v>10.574656499984272</c:v>
                </c:pt>
                <c:pt idx="291">
                  <c:v>10.550229099719006</c:v>
                </c:pt>
                <c:pt idx="292">
                  <c:v>10.524851884170479</c:v>
                </c:pt>
                <c:pt idx="293">
                  <c:v>10.498488892064973</c:v>
                </c:pt>
                <c:pt idx="294">
                  <c:v>10.471103494726211</c:v>
                </c:pt>
                <c:pt idx="295">
                  <c:v>10.442658419305316</c:v>
                </c:pt>
                <c:pt idx="296">
                  <c:v>10.413115776188961</c:v>
                </c:pt>
                <c:pt idx="297">
                  <c:v>10.382437090760927</c:v>
                </c:pt>
                <c:pt idx="298">
                  <c:v>10.350583339680126</c:v>
                </c:pt>
                <c:pt idx="299">
                  <c:v>10.317514991821014</c:v>
                </c:pt>
                <c:pt idx="300">
                  <c:v>10.283192054005678</c:v>
                </c:pt>
                <c:pt idx="301">
                  <c:v>10.247574121631802</c:v>
                </c:pt>
                <c:pt idx="302">
                  <c:v>10.210620434278685</c:v>
                </c:pt>
                <c:pt idx="303">
                  <c:v>10.172289936341405</c:v>
                </c:pt>
                <c:pt idx="304">
                  <c:v>10.132541342713191</c:v>
                </c:pt>
                <c:pt idx="305">
                  <c:v>10.091333209498893</c:v>
                </c:pt>
                <c:pt idx="306">
                  <c:v>10.048624009703932</c:v>
                </c:pt>
                <c:pt idx="307">
                  <c:v>10.004372213801787</c:v>
                </c:pt>
                <c:pt idx="308">
                  <c:v>9.958536375036509</c:v>
                </c:pt>
                <c:pt idx="309">
                  <c:v>9.9110752192696321</c:v>
                </c:pt>
                <c:pt idx="310">
                  <c:v>9.8619477391333916</c:v>
                </c:pt>
                <c:pt idx="311">
                  <c:v>9.8111132921967599</c:v>
                </c:pt>
                <c:pt idx="312">
                  <c:v>9.7585317028016121</c:v>
                </c:pt>
                <c:pt idx="313">
                  <c:v>9.7041633671720469</c:v>
                </c:pt>
                <c:pt idx="314">
                  <c:v>9.6479693613476094</c:v>
                </c:pt>
                <c:pt idx="315">
                  <c:v>9.5899115514385702</c:v>
                </c:pt>
                <c:pt idx="316">
                  <c:v>9.5299527056531623</c:v>
                </c:pt>
                <c:pt idx="317">
                  <c:v>9.4680566074976138</c:v>
                </c:pt>
                <c:pt idx="318">
                  <c:v>9.4041881695083482</c:v>
                </c:pt>
                <c:pt idx="319">
                  <c:v>9.3383135468346605</c:v>
                </c:pt>
                <c:pt idx="320">
                  <c:v>9.2704002499585805</c:v>
                </c:pt>
                <c:pt idx="321">
                  <c:v>9.2004172558098123</c:v>
                </c:pt>
                <c:pt idx="322">
                  <c:v>9.1283351165139184</c:v>
                </c:pt>
                <c:pt idx="323">
                  <c:v>9.0541260650010233</c:v>
                </c:pt>
                <c:pt idx="324">
                  <c:v>8.9777641166954663</c:v>
                </c:pt>
                <c:pt idx="325">
                  <c:v>8.8992251665146362</c:v>
                </c:pt>
                <c:pt idx="326">
                  <c:v>8.8184870804183948</c:v>
                </c:pt>
                <c:pt idx="327">
                  <c:v>8.7355297807748009</c:v>
                </c:pt>
                <c:pt idx="328">
                  <c:v>8.6503353248413042</c:v>
                </c:pt>
                <c:pt idx="329">
                  <c:v>8.5628879757039318</c:v>
                </c:pt>
                <c:pt idx="330">
                  <c:v>8.4731742650681046</c:v>
                </c:pt>
                <c:pt idx="331">
                  <c:v>8.3811830473573696</c:v>
                </c:pt>
                <c:pt idx="332">
                  <c:v>8.2869055446431954</c:v>
                </c:pt>
                <c:pt idx="333">
                  <c:v>8.1903353820049833</c:v>
                </c:pt>
                <c:pt idx="334">
                  <c:v>8.091468613002144</c:v>
                </c:pt>
                <c:pt idx="335">
                  <c:v>7.9903037350249564</c:v>
                </c:pt>
                <c:pt idx="336">
                  <c:v>7.8868416943821256</c:v>
                </c:pt>
                <c:pt idx="337">
                  <c:v>7.781085881074592</c:v>
                </c:pt>
                <c:pt idx="338">
                  <c:v>7.6730421132977558</c:v>
                </c:pt>
                <c:pt idx="339">
                  <c:v>7.5627186118071386</c:v>
                </c:pt>
                <c:pt idx="340">
                  <c:v>7.4501259643722673</c:v>
                </c:pt>
                <c:pt idx="341">
                  <c:v>7.3352770806304495</c:v>
                </c:pt>
                <c:pt idx="342">
                  <c:v>7.2181871377337545</c:v>
                </c:pt>
                <c:pt idx="343">
                  <c:v>7.09887351725886</c:v>
                </c:pt>
                <c:pt idx="344">
                  <c:v>6.977355733918575</c:v>
                </c:pt>
                <c:pt idx="345">
                  <c:v>6.8536553566754153</c:v>
                </c:pt>
                <c:pt idx="346">
                  <c:v>6.7277959229084692</c:v>
                </c:pt>
                <c:pt idx="347">
                  <c:v>6.5998028463317526</c:v>
                </c:pt>
                <c:pt idx="348">
                  <c:v>6.4697033193931395</c:v>
                </c:pt>
                <c:pt idx="349">
                  <c:v>6.3375262109098882</c:v>
                </c:pt>
                <c:pt idx="350">
                  <c:v>6.2033019597097292</c:v>
                </c:pt>
                <c:pt idx="351">
                  <c:v>6.0670624650549954</c:v>
                </c:pt>
                <c:pt idx="352">
                  <c:v>5.9288409746206385</c:v>
                </c:pt>
                <c:pt idx="353">
                  <c:v>5.7886719707876031</c:v>
                </c:pt>
                <c:pt idx="354">
                  <c:v>5.6465910559925696</c:v>
                </c:pt>
                <c:pt idx="355">
                  <c:v>5.5026348378473298</c:v>
                </c:pt>
                <c:pt idx="356">
                  <c:v>5.3568408147094848</c:v>
                </c:pt>
                <c:pt idx="357">
                  <c:v>5.2092472623453876</c:v>
                </c:pt>
                <c:pt idx="358">
                  <c:v>5.0598931222858141</c:v>
                </c:pt>
                <c:pt idx="359">
                  <c:v>4.9088178924239587</c:v>
                </c:pt>
                <c:pt idx="360">
                  <c:v>4.7560615203595979</c:v>
                </c:pt>
                <c:pt idx="361">
                  <c:v>4.6016642999386166</c:v>
                </c:pt>
                <c:pt idx="362">
                  <c:v>4.4456667713861577</c:v>
                </c:pt>
                <c:pt idx="363">
                  <c:v>4.2881096253769115</c:v>
                </c:pt>
                <c:pt idx="364">
                  <c:v>4.129033611335549</c:v>
                </c:pt>
                <c:pt idx="365">
                  <c:v>3.9684794502070924</c:v>
                </c:pt>
                <c:pt idx="366">
                  <c:v>3.8064877518869937</c:v>
                </c:pt>
                <c:pt idx="367">
                  <c:v>3.6430989374545764</c:v>
                </c:pt>
                <c:pt idx="368">
                  <c:v>3.4783531663061433</c:v>
                </c:pt>
                <c:pt idx="369">
                  <c:v>3.312290268243391</c:v>
                </c:pt>
                <c:pt idx="370">
                  <c:v>3.1449496805312087</c:v>
                </c:pt>
                <c:pt idx="371">
                  <c:v>2.9763703899063962</c:v>
                </c:pt>
                <c:pt idx="372">
                  <c:v>2.8065908794814503</c:v>
                </c:pt>
                <c:pt idx="373">
                  <c:v>2.6356490804629074</c:v>
                </c:pt>
                <c:pt idx="374">
                  <c:v>2.4635823285747471</c:v>
                </c:pt>
                <c:pt idx="375">
                  <c:v>2.2904273250559664</c:v>
                </c:pt>
                <c:pt idx="376">
                  <c:v>2.116220102082111</c:v>
                </c:pt>
                <c:pt idx="377">
                  <c:v>1.9409959924461524</c:v>
                </c:pt>
                <c:pt idx="378">
                  <c:v>1.7647896033158434</c:v>
                </c:pt>
                <c:pt idx="379">
                  <c:v>1.5876347938813609</c:v>
                </c:pt>
                <c:pt idx="380">
                  <c:v>1.409564656694857</c:v>
                </c:pt>
                <c:pt idx="381">
                  <c:v>1.2306115024975597</c:v>
                </c:pt>
                <c:pt idx="382">
                  <c:v>1.0508068483313764</c:v>
                </c:pt>
                <c:pt idx="383">
                  <c:v>0.87018140872524263</c:v>
                </c:pt>
                <c:pt idx="384">
                  <c:v>0.68876508975247619</c:v>
                </c:pt>
                <c:pt idx="385">
                  <c:v>0.50658698575210592</c:v>
                </c:pt>
                <c:pt idx="386">
                  <c:v>0.32367537851633016</c:v>
                </c:pt>
                <c:pt idx="387">
                  <c:v>0.14005773874463698</c:v>
                </c:pt>
                <c:pt idx="388">
                  <c:v>-4.4239270422848191E-2</c:v>
                </c:pt>
                <c:pt idx="389">
                  <c:v>-0.22918978797922901</c:v>
                </c:pt>
                <c:pt idx="390">
                  <c:v>-0.4147687479075915</c:v>
                </c:pt>
                <c:pt idx="391">
                  <c:v>-0.60095187049136378</c:v>
                </c:pt>
                <c:pt idx="392">
                  <c:v>-0.78771565223818074</c:v>
                </c:pt>
                <c:pt idx="393">
                  <c:v>-0.97503735457288099</c:v>
                </c:pt>
                <c:pt idx="394">
                  <c:v>-1.1628949914424898</c:v>
                </c:pt>
                <c:pt idx="395">
                  <c:v>-1.3512673159701791</c:v>
                </c:pt>
                <c:pt idx="396">
                  <c:v>-1.5401338062879475</c:v>
                </c:pt>
                <c:pt idx="397">
                  <c:v>-1.7294746506651257</c:v>
                </c:pt>
                <c:pt idx="398">
                  <c:v>-1.9192707320461146</c:v>
                </c:pt>
                <c:pt idx="399">
                  <c:v>-2.1095036121005908</c:v>
                </c:pt>
                <c:pt idx="400">
                  <c:v>-2.3001555148809469</c:v>
                </c:pt>
                <c:pt idx="401">
                  <c:v>-2.4912093101764121</c:v>
                </c:pt>
                <c:pt idx="402">
                  <c:v>-2.6826484966439978</c:v>
                </c:pt>
                <c:pt idx="403">
                  <c:v>-2.874457184790324</c:v>
                </c:pt>
                <c:pt idx="404">
                  <c:v>-3.0666200798731529</c:v>
                </c:pt>
                <c:pt idx="405">
                  <c:v>-3.2591224647813135</c:v>
                </c:pt>
                <c:pt idx="406">
                  <c:v>-3.4519501829511849</c:v>
                </c:pt>
                <c:pt idx="407">
                  <c:v>-3.6450896213668358</c:v>
                </c:pt>
                <c:pt idx="408">
                  <c:v>-3.8385276936910668</c:v>
                </c:pt>
                <c:pt idx="409">
                  <c:v>-4.0322518235641747</c:v>
                </c:pt>
                <c:pt idx="410">
                  <c:v>-4.2262499281072987</c:v>
                </c:pt>
                <c:pt idx="411">
                  <c:v>-4.4205104016613586</c:v>
                </c:pt>
                <c:pt idx="412">
                  <c:v>-4.6150220997861791</c:v>
                </c:pt>
                <c:pt idx="413">
                  <c:v>-4.8097743235461738</c:v>
                </c:pt>
                <c:pt idx="414">
                  <c:v>-5.0047568040996087</c:v>
                </c:pt>
                <c:pt idx="415">
                  <c:v>-5.1999596876095975</c:v>
                </c:pt>
                <c:pt idx="416">
                  <c:v>-5.3953735204907973</c:v>
                </c:pt>
                <c:pt idx="417">
                  <c:v>-5.5909892350022332</c:v>
                </c:pt>
                <c:pt idx="418">
                  <c:v>-5.7867981351959061</c:v>
                </c:pt>
                <c:pt idx="419">
                  <c:v>-5.9827918832276827</c:v>
                </c:pt>
                <c:pt idx="420">
                  <c:v>-6.1789624860353936</c:v>
                </c:pt>
                <c:pt idx="421">
                  <c:v>-6.3753022823863406</c:v>
                </c:pt>
                <c:pt idx="422">
                  <c:v>-6.571803930298266</c:v>
                </c:pt>
                <c:pt idx="423">
                  <c:v>-6.7684603948297841</c:v>
                </c:pt>
                <c:pt idx="424">
                  <c:v>-6.9652649362433907</c:v>
                </c:pt>
                <c:pt idx="425">
                  <c:v>-7.1622110985351117</c:v>
                </c:pt>
                <c:pt idx="426">
                  <c:v>-7.3592926983301643</c:v>
                </c:pt>
                <c:pt idx="427">
                  <c:v>-7.5565038141390044</c:v>
                </c:pt>
                <c:pt idx="428">
                  <c:v>-7.7538387759688554</c:v>
                </c:pt>
                <c:pt idx="429">
                  <c:v>-7.9512921552860742</c:v>
                </c:pt>
                <c:pt idx="430">
                  <c:v>-8.1488587553220189</c:v>
                </c:pt>
                <c:pt idx="431">
                  <c:v>-8.3465336017165921</c:v>
                </c:pt>
                <c:pt idx="432">
                  <c:v>-8.5443119334923168</c:v>
                </c:pt>
                <c:pt idx="433">
                  <c:v>-8.7421891943512549</c:v>
                </c:pt>
                <c:pt idx="434">
                  <c:v>-8.9401610242872405</c:v>
                </c:pt>
                <c:pt idx="435">
                  <c:v>-9.1382232515056767</c:v>
                </c:pt>
                <c:pt idx="436">
                  <c:v>-9.3363718846432491</c:v>
                </c:pt>
                <c:pt idx="437">
                  <c:v>-9.5346031052782667</c:v>
                </c:pt>
                <c:pt idx="438">
                  <c:v>-9.7329132607251054</c:v>
                </c:pt>
                <c:pt idx="439">
                  <c:v>-9.9312988571029255</c:v>
                </c:pt>
                <c:pt idx="440">
                  <c:v>-10.1297565526715</c:v>
                </c:pt>
                <c:pt idx="441">
                  <c:v>-10.328283151425421</c:v>
                </c:pt>
                <c:pt idx="442">
                  <c:v>-10.526875596939259</c:v>
                </c:pt>
                <c:pt idx="443">
                  <c:v>-10.725530966454285</c:v>
                </c:pt>
                <c:pt idx="444">
                  <c:v>-10.924246465200135</c:v>
                </c:pt>
                <c:pt idx="445">
                  <c:v>-11.123019420942956</c:v>
                </c:pt>
                <c:pt idx="446">
                  <c:v>-11.321847278751957</c:v>
                </c:pt>
                <c:pt idx="447">
                  <c:v>-11.520727595977851</c:v>
                </c:pt>
                <c:pt idx="448">
                  <c:v>-11.719658037434757</c:v>
                </c:pt>
                <c:pt idx="449">
                  <c:v>-11.918636370778231</c:v>
                </c:pt>
                <c:pt idx="450">
                  <c:v>-12.117660462073477</c:v>
                </c:pt>
                <c:pt idx="451">
                  <c:v>-12.316728271545625</c:v>
                </c:pt>
                <c:pt idx="452">
                  <c:v>-12.515837849505619</c:v>
                </c:pt>
                <c:pt idx="453">
                  <c:v>-12.714987332445503</c:v>
                </c:pt>
                <c:pt idx="454">
                  <c:v>-12.914174939296387</c:v>
                </c:pt>
                <c:pt idx="455">
                  <c:v>-13.113398967843139</c:v>
                </c:pt>
                <c:pt idx="456">
                  <c:v>-13.312657791289151</c:v>
                </c:pt>
                <c:pt idx="457">
                  <c:v>-13.511949854966307</c:v>
                </c:pt>
                <c:pt idx="458">
                  <c:v>-13.711273673183603</c:v>
                </c:pt>
                <c:pt idx="459">
                  <c:v>-13.910627826209749</c:v>
                </c:pt>
                <c:pt idx="460">
                  <c:v>-14.110010957383466</c:v>
                </c:pt>
                <c:pt idx="461">
                  <c:v>-14.309421770347386</c:v>
                </c:pt>
                <c:pt idx="462">
                  <c:v>-14.508859026399897</c:v>
                </c:pt>
                <c:pt idx="463">
                  <c:v>-14.708321541961036</c:v>
                </c:pt>
                <c:pt idx="464">
                  <c:v>-14.907808186145745</c:v>
                </c:pt>
                <c:pt idx="465">
                  <c:v>-15.107317878443077</c:v>
                </c:pt>
                <c:pt idx="466">
                  <c:v>-15.306849586494952</c:v>
                </c:pt>
                <c:pt idx="467">
                  <c:v>-15.506402323970462</c:v>
                </c:pt>
                <c:pt idx="468">
                  <c:v>-15.705975148532582</c:v>
                </c:pt>
                <c:pt idx="469">
                  <c:v>-15.905567159892971</c:v>
                </c:pt>
                <c:pt idx="470">
                  <c:v>-16.10517749795158</c:v>
                </c:pt>
                <c:pt idx="471">
                  <c:v>-16.304805341016618</c:v>
                </c:pt>
                <c:pt idx="472">
                  <c:v>-16.504449904102461</c:v>
                </c:pt>
                <c:pt idx="473">
                  <c:v>-16.70411043730191</c:v>
                </c:pt>
                <c:pt idx="474">
                  <c:v>-16.903786224229322</c:v>
                </c:pt>
                <c:pt idx="475">
                  <c:v>-17.103476580531986</c:v>
                </c:pt>
                <c:pt idx="476">
                  <c:v>-17.303180852467506</c:v>
                </c:pt>
                <c:pt idx="477">
                  <c:v>-17.502898415541427</c:v>
                </c:pt>
                <c:pt idx="478">
                  <c:v>-17.702628673207531</c:v>
                </c:pt>
                <c:pt idx="479">
                  <c:v>-17.902371055623419</c:v>
                </c:pt>
                <c:pt idx="480">
                  <c:v>-18.10212501846117</c:v>
                </c:pt>
                <c:pt idx="481">
                  <c:v>-18.30189004177085</c:v>
                </c:pt>
                <c:pt idx="482">
                  <c:v>-18.50166562889401</c:v>
                </c:pt>
                <c:pt idx="483">
                  <c:v>-18.701451305424822</c:v>
                </c:pt>
                <c:pt idx="484">
                  <c:v>-18.901246618217648</c:v>
                </c:pt>
                <c:pt idx="485">
                  <c:v>-19.101051134438055</c:v>
                </c:pt>
                <c:pt idx="486">
                  <c:v>-19.300864440655833</c:v>
                </c:pt>
                <c:pt idx="487">
                  <c:v>-19.500686141978811</c:v>
                </c:pt>
                <c:pt idx="488">
                  <c:v>-19.700515861224368</c:v>
                </c:pt>
                <c:pt idx="489">
                  <c:v>-19.900353238127707</c:v>
                </c:pt>
                <c:pt idx="490">
                  <c:v>-20.10019792858612</c:v>
                </c:pt>
                <c:pt idx="491">
                  <c:v>-20.300049603935658</c:v>
                </c:pt>
                <c:pt idx="492">
                  <c:v>-20.499907950260706</c:v>
                </c:pt>
                <c:pt idx="493">
                  <c:v>-20.699772667734099</c:v>
                </c:pt>
                <c:pt idx="494">
                  <c:v>-20.899643469986657</c:v>
                </c:pt>
                <c:pt idx="495">
                  <c:v>-21.099520083504327</c:v>
                </c:pt>
                <c:pt idx="496">
                  <c:v>-21.299402247052988</c:v>
                </c:pt>
                <c:pt idx="497">
                  <c:v>-21.499289711128121</c:v>
                </c:pt>
                <c:pt idx="498">
                  <c:v>-21.699182237429433</c:v>
                </c:pt>
                <c:pt idx="499">
                  <c:v>-21.899079598358906</c:v>
                </c:pt>
                <c:pt idx="500">
                  <c:v>-22.098981576540936</c:v>
                </c:pt>
                <c:pt idx="501">
                  <c:v>-22.298887964364241</c:v>
                </c:pt>
                <c:pt idx="502">
                  <c:v>-22.498798563544213</c:v>
                </c:pt>
                <c:pt idx="503">
                  <c:v>-22.6987131847042</c:v>
                </c:pt>
                <c:pt idx="504">
                  <c:v>-22.898631646976689</c:v>
                </c:pt>
                <c:pt idx="505">
                  <c:v>-23.098553777621014</c:v>
                </c:pt>
                <c:pt idx="506">
                  <c:v>-23.298479411659116</c:v>
                </c:pt>
                <c:pt idx="507">
                  <c:v>-23.498408391527011</c:v>
                </c:pt>
                <c:pt idx="508">
                  <c:v>-23.698340566742118</c:v>
                </c:pt>
                <c:pt idx="509">
                  <c:v>-23.898275793585807</c:v>
                </c:pt>
                <c:pt idx="510">
                  <c:v>-24.098213934798945</c:v>
                </c:pt>
                <c:pt idx="511">
                  <c:v>-24.298154859292932</c:v>
                </c:pt>
                <c:pt idx="512">
                  <c:v>-24.498098441871793</c:v>
                </c:pt>
                <c:pt idx="513">
                  <c:v>-24.698044562968093</c:v>
                </c:pt>
                <c:pt idx="514">
                  <c:v>-24.897993108389919</c:v>
                </c:pt>
                <c:pt idx="515">
                  <c:v>-25.097943969079672</c:v>
                </c:pt>
                <c:pt idx="516">
                  <c:v>-25.297897040883157</c:v>
                </c:pt>
                <c:pt idx="517">
                  <c:v>-25.497852224329623</c:v>
                </c:pt>
                <c:pt idx="518">
                  <c:v>-25.697809424421077</c:v>
                </c:pt>
                <c:pt idx="519">
                  <c:v>-25.897768550431618</c:v>
                </c:pt>
                <c:pt idx="520">
                  <c:v>-26.097729515715422</c:v>
                </c:pt>
                <c:pt idx="521">
                  <c:v>-26.297692237522909</c:v>
                </c:pt>
                <c:pt idx="522">
                  <c:v>-26.497656636826473</c:v>
                </c:pt>
                <c:pt idx="523">
                  <c:v>-26.697622638152659</c:v>
                </c:pt>
                <c:pt idx="524">
                  <c:v>-26.897590169422493</c:v>
                </c:pt>
                <c:pt idx="525">
                  <c:v>-27.097559161799211</c:v>
                </c:pt>
                <c:pt idx="526">
                  <c:v>-27.297529549541906</c:v>
                </c:pt>
                <c:pt idx="527">
                  <c:v>-27.497501269867097</c:v>
                </c:pt>
                <c:pt idx="528">
                  <c:v>-27.697474262815199</c:v>
                </c:pt>
                <c:pt idx="529">
                  <c:v>-27.897448471123973</c:v>
                </c:pt>
                <c:pt idx="530">
                  <c:v>-28.097423840107002</c:v>
                </c:pt>
                <c:pt idx="531">
                  <c:v>-28.297400317537871</c:v>
                </c:pt>
                <c:pt idx="532">
                  <c:v>-28.497377853539692</c:v>
                </c:pt>
                <c:pt idx="533">
                  <c:v>-28.697356400479372</c:v>
                </c:pt>
                <c:pt idx="534">
                  <c:v>-28.897335912866854</c:v>
                </c:pt>
                <c:pt idx="535">
                  <c:v>-29.097316347258435</c:v>
                </c:pt>
                <c:pt idx="536">
                  <c:v>-29.297297662165114</c:v>
                </c:pt>
                <c:pt idx="537">
                  <c:v>-29.497279817964404</c:v>
                </c:pt>
                <c:pt idx="538">
                  <c:v>-29.697262776816544</c:v>
                </c:pt>
                <c:pt idx="539">
                  <c:v>-29.897246502584171</c:v>
                </c:pt>
                <c:pt idx="540">
                  <c:v>-30.097230960755983</c:v>
                </c:pt>
                <c:pt idx="541">
                  <c:v>-30.297216118373349</c:v>
                </c:pt>
              </c:numCache>
            </c:numRef>
          </c:yVal>
          <c:smooth val="1"/>
          <c:extLst>
            <c:ext xmlns:c16="http://schemas.microsoft.com/office/drawing/2014/chart" uri="{C3380CC4-5D6E-409C-BE32-E72D297353CC}">
              <c16:uniqueId val="{00000000-0B5D-4E78-BD48-CC54C4E43363}"/>
            </c:ext>
          </c:extLst>
        </c:ser>
        <c:dLbls>
          <c:showLegendKey val="0"/>
          <c:showVal val="0"/>
          <c:showCatName val="0"/>
          <c:showSerName val="0"/>
          <c:showPercent val="0"/>
          <c:showBubbleSize val="0"/>
        </c:dLbls>
        <c:axId val="555280640"/>
        <c:axId val="365437312"/>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91.189320635369896</c:v>
                </c:pt>
                <c:pt idx="1">
                  <c:v>91.217014679045207</c:v>
                </c:pt>
                <c:pt idx="2">
                  <c:v>91.245353171263432</c:v>
                </c:pt>
                <c:pt idx="3">
                  <c:v>91.274351078232201</c:v>
                </c:pt>
                <c:pt idx="4">
                  <c:v>91.30402371155742</c:v>
                </c:pt>
                <c:pt idx="5">
                  <c:v>91.334386736059415</c:v>
                </c:pt>
                <c:pt idx="6">
                  <c:v>91.365456177755135</c:v>
                </c:pt>
                <c:pt idx="7">
                  <c:v>91.397248432008325</c:v>
                </c:pt>
                <c:pt idx="8">
                  <c:v>91.429780271851286</c:v>
                </c:pt>
                <c:pt idx="9">
                  <c:v>91.463068856480035</c:v>
                </c:pt>
                <c:pt idx="10">
                  <c:v>91.497131739926061</c:v>
                </c:pt>
                <c:pt idx="11">
                  <c:v>91.531986879906981</c:v>
                </c:pt>
                <c:pt idx="12">
                  <c:v>91.56765264685869</c:v>
                </c:pt>
                <c:pt idx="13">
                  <c:v>91.604147833151529</c:v>
                </c:pt>
                <c:pt idx="14">
                  <c:v>91.64149166249284</c:v>
                </c:pt>
                <c:pt idx="15">
                  <c:v>91.679703799518165</c:v>
                </c:pt>
                <c:pt idx="16">
                  <c:v>91.718804359573568</c:v>
                </c:pt>
                <c:pt idx="17">
                  <c:v>91.758813918691061</c:v>
                </c:pt>
                <c:pt idx="18">
                  <c:v>91.799753523758952</c:v>
                </c:pt>
                <c:pt idx="19">
                  <c:v>91.841644702889639</c:v>
                </c:pt>
                <c:pt idx="20">
                  <c:v>91.88450947598605</c:v>
                </c:pt>
                <c:pt idx="21">
                  <c:v>91.928370365508556</c:v>
                </c:pt>
                <c:pt idx="22">
                  <c:v>91.973250407443714</c:v>
                </c:pt>
                <c:pt idx="23">
                  <c:v>92.019173162476477</c:v>
                </c:pt>
                <c:pt idx="24">
                  <c:v>92.066162727366134</c:v>
                </c:pt>
                <c:pt idx="25">
                  <c:v>92.114243746527691</c:v>
                </c:pt>
                <c:pt idx="26">
                  <c:v>92.163441423818369</c:v>
                </c:pt>
                <c:pt idx="27">
                  <c:v>92.21378153453027</c:v>
                </c:pt>
                <c:pt idx="28">
                  <c:v>92.265290437588462</c:v>
                </c:pt>
                <c:pt idx="29">
                  <c:v>92.317995087954628</c:v>
                </c:pt>
                <c:pt idx="30">
                  <c:v>92.371923049235235</c:v>
                </c:pt>
                <c:pt idx="31">
                  <c:v>92.427102506493085</c:v>
                </c:pt>
                <c:pt idx="32">
                  <c:v>92.48356227926071</c:v>
                </c:pt>
                <c:pt idx="33">
                  <c:v>92.541331834753692</c:v>
                </c:pt>
                <c:pt idx="34">
                  <c:v>92.600441301280782</c:v>
                </c:pt>
                <c:pt idx="35">
                  <c:v>92.660921481848348</c:v>
                </c:pt>
                <c:pt idx="36">
                  <c:v>92.722803867954937</c:v>
                </c:pt>
                <c:pt idx="37">
                  <c:v>92.786120653571572</c:v>
                </c:pt>
                <c:pt idx="38">
                  <c:v>92.850904749302927</c:v>
                </c:pt>
                <c:pt idx="39">
                  <c:v>92.917189796723051</c:v>
                </c:pt>
                <c:pt idx="40">
                  <c:v>92.985010182879236</c:v>
                </c:pt>
                <c:pt idx="41">
                  <c:v>93.0544010549565</c:v>
                </c:pt>
                <c:pt idx="42">
                  <c:v>93.125398335093521</c:v>
                </c:pt>
                <c:pt idx="43">
                  <c:v>93.198038735341157</c:v>
                </c:pt>
                <c:pt idx="44">
                  <c:v>93.272359772752026</c:v>
                </c:pt>
                <c:pt idx="45">
                  <c:v>93.3483997845901</c:v>
                </c:pt>
                <c:pt idx="46">
                  <c:v>93.426197943646144</c:v>
                </c:pt>
                <c:pt idx="47">
                  <c:v>93.505794273644995</c:v>
                </c:pt>
                <c:pt idx="48">
                  <c:v>93.587229664728426</c:v>
                </c:pt>
                <c:pt idx="49">
                  <c:v>93.670545888995747</c:v>
                </c:pt>
                <c:pt idx="50">
                  <c:v>93.755785616082989</c:v>
                </c:pt>
                <c:pt idx="51">
                  <c:v>93.842992428759132</c:v>
                </c:pt>
                <c:pt idx="52">
                  <c:v>93.932210838516411</c:v>
                </c:pt>
                <c:pt idx="53">
                  <c:v>94.02348630112941</c:v>
                </c:pt>
                <c:pt idx="54">
                  <c:v>94.116865232155192</c:v>
                </c:pt>
                <c:pt idx="55">
                  <c:v>94.212395022344779</c:v>
                </c:pt>
                <c:pt idx="56">
                  <c:v>94.310124052933418</c:v>
                </c:pt>
                <c:pt idx="57">
                  <c:v>94.410101710774484</c:v>
                </c:pt>
                <c:pt idx="58">
                  <c:v>94.512378403278831</c:v>
                </c:pt>
                <c:pt idx="59">
                  <c:v>94.617005573118576</c:v>
                </c:pt>
                <c:pt idx="60">
                  <c:v>94.724035712650618</c:v>
                </c:pt>
                <c:pt idx="61">
                  <c:v>94.833522378012347</c:v>
                </c:pt>
                <c:pt idx="62">
                  <c:v>94.94552020283713</c:v>
                </c:pt>
                <c:pt idx="63">
                  <c:v>95.060084911535071</c:v>
                </c:pt>
                <c:pt idx="64">
                  <c:v>95.177273332077959</c:v>
                </c:pt>
                <c:pt idx="65">
                  <c:v>95.297143408225068</c:v>
                </c:pt>
                <c:pt idx="66">
                  <c:v>95.419754211120718</c:v>
                </c:pt>
                <c:pt idx="67">
                  <c:v>95.545165950189187</c:v>
                </c:pt>
                <c:pt idx="68">
                  <c:v>95.673439983248713</c:v>
                </c:pt>
                <c:pt idx="69">
                  <c:v>95.804638825758659</c:v>
                </c:pt>
                <c:pt idx="70">
                  <c:v>95.938826159110391</c:v>
                </c:pt>
                <c:pt idx="71">
                  <c:v>96.076066837864474</c:v>
                </c:pt>
                <c:pt idx="72">
                  <c:v>96.216426895831276</c:v>
                </c:pt>
                <c:pt idx="73">
                  <c:v>96.359973550884575</c:v>
                </c:pt>
                <c:pt idx="74">
                  <c:v>96.506775208390991</c:v>
                </c:pt>
                <c:pt idx="75">
                  <c:v>96.656901463131106</c:v>
                </c:pt>
                <c:pt idx="76">
                  <c:v>96.810423099578642</c:v>
                </c:pt>
                <c:pt idx="77">
                  <c:v>96.967412090397971</c:v>
                </c:pt>
                <c:pt idx="78">
                  <c:v>97.127941593009467</c:v>
                </c:pt>
                <c:pt idx="79">
                  <c:v>97.29208594406505</c:v>
                </c:pt>
                <c:pt idx="80">
                  <c:v>97.459920651667119</c:v>
                </c:pt>
                <c:pt idx="81">
                  <c:v>97.63152238515157</c:v>
                </c:pt>
                <c:pt idx="82">
                  <c:v>97.806968962249655</c:v>
                </c:pt>
                <c:pt idx="83">
                  <c:v>97.986339333431204</c:v>
                </c:pt>
                <c:pt idx="84">
                  <c:v>98.16971356322</c:v>
                </c:pt>
                <c:pt idx="85">
                  <c:v>98.357172808263783</c:v>
                </c:pt>
                <c:pt idx="86">
                  <c:v>98.5487992919292</c:v>
                </c:pt>
                <c:pt idx="87">
                  <c:v>98.744676275179742</c:v>
                </c:pt>
                <c:pt idx="88">
                  <c:v>98.944888023485291</c:v>
                </c:pt>
                <c:pt idx="89">
                  <c:v>99.149519769498568</c:v>
                </c:pt>
                <c:pt idx="90">
                  <c:v>99.358657671224208</c:v>
                </c:pt>
                <c:pt idx="91">
                  <c:v>99.572388765391921</c:v>
                </c:pt>
                <c:pt idx="92">
                  <c:v>99.790800915738103</c:v>
                </c:pt>
                <c:pt idx="93">
                  <c:v>100.01398275588306</c:v>
                </c:pt>
                <c:pt idx="94">
                  <c:v>100.24202362648771</c:v>
                </c:pt>
                <c:pt idx="95">
                  <c:v>100.47501350635542</c:v>
                </c:pt>
                <c:pt idx="96">
                  <c:v>100.71304293714245</c:v>
                </c:pt>
                <c:pt idx="97">
                  <c:v>100.95620294132401</c:v>
                </c:pt>
                <c:pt idx="98">
                  <c:v>101.2045849330629</c:v>
                </c:pt>
                <c:pt idx="99">
                  <c:v>101.45828062161273</c:v>
                </c:pt>
                <c:pt idx="100">
                  <c:v>101.71738190688845</c:v>
                </c:pt>
                <c:pt idx="101">
                  <c:v>101.9819807668288</c:v>
                </c:pt>
                <c:pt idx="102">
                  <c:v>102.25216913617656</c:v>
                </c:pt>
                <c:pt idx="103">
                  <c:v>102.52803877629796</c:v>
                </c:pt>
                <c:pt idx="104">
                  <c:v>102.80968113566976</c:v>
                </c:pt>
                <c:pt idx="105">
                  <c:v>103.09718720066247</c:v>
                </c:pt>
                <c:pt idx="106">
                  <c:v>103.39064733626182</c:v>
                </c:pt>
                <c:pt idx="107">
                  <c:v>103.69015111637569</c:v>
                </c:pt>
                <c:pt idx="108">
                  <c:v>103.9957871433935</c:v>
                </c:pt>
                <c:pt idx="109">
                  <c:v>104.30764285668411</c:v>
                </c:pt>
                <c:pt idx="110">
                  <c:v>104.6258043297384</c:v>
                </c:pt>
                <c:pt idx="111">
                  <c:v>104.95035605569603</c:v>
                </c:pt>
                <c:pt idx="112">
                  <c:v>105.2813807210279</c:v>
                </c:pt>
                <c:pt idx="113">
                  <c:v>105.6189589671864</c:v>
                </c:pt>
                <c:pt idx="114">
                  <c:v>105.9631691400825</c:v>
                </c:pt>
                <c:pt idx="115">
                  <c:v>106.31408702730147</c:v>
                </c:pt>
                <c:pt idx="116">
                  <c:v>106.67178558302922</c:v>
                </c:pt>
                <c:pt idx="117">
                  <c:v>107.03633464073083</c:v>
                </c:pt>
                <c:pt idx="118">
                  <c:v>107.40780061369551</c:v>
                </c:pt>
                <c:pt idx="119">
                  <c:v>107.78624618364995</c:v>
                </c:pt>
                <c:pt idx="120">
                  <c:v>108.17172997773051</c:v>
                </c:pt>
                <c:pt idx="121">
                  <c:v>108.5643062342089</c:v>
                </c:pt>
                <c:pt idx="122">
                  <c:v>108.96402445747211</c:v>
                </c:pt>
                <c:pt idx="123">
                  <c:v>109.37092906288096</c:v>
                </c:pt>
                <c:pt idx="124">
                  <c:v>109.78505901224908</c:v>
                </c:pt>
                <c:pt idx="125">
                  <c:v>110.20644744082971</c:v>
                </c:pt>
                <c:pt idx="126">
                  <c:v>110.63512127683227</c:v>
                </c:pt>
                <c:pt idx="127">
                  <c:v>111.07110085464078</c:v>
                </c:pt>
                <c:pt idx="128">
                  <c:v>111.51439952306649</c:v>
                </c:pt>
                <c:pt idx="129">
                  <c:v>111.96502325012482</c:v>
                </c:pt>
                <c:pt idx="130">
                  <c:v>112.42297022598896</c:v>
                </c:pt>
                <c:pt idx="131">
                  <c:v>112.88823046594574</c:v>
                </c:pt>
                <c:pt idx="132">
                  <c:v>113.36078541534241</c:v>
                </c:pt>
                <c:pt idx="133">
                  <c:v>113.84060755868404</c:v>
                </c:pt>
                <c:pt idx="134">
                  <c:v>114.3276600351986</c:v>
                </c:pt>
                <c:pt idx="135">
                  <c:v>114.82189626335212</c:v>
                </c:pt>
                <c:pt idx="136">
                  <c:v>115.32325957693902</c:v>
                </c:pt>
                <c:pt idx="137">
                  <c:v>115.83168287551396</c:v>
                </c:pt>
                <c:pt idx="138">
                  <c:v>116.34708829204975</c:v>
                </c:pt>
                <c:pt idx="139">
                  <c:v>116.86938688082009</c:v>
                </c:pt>
                <c:pt idx="140">
                  <c:v>117.39847832857934</c:v>
                </c:pt>
                <c:pt idx="141">
                  <c:v>117.93425069217992</c:v>
                </c:pt>
                <c:pt idx="142">
                  <c:v>118.47658016579527</c:v>
                </c:pt>
                <c:pt idx="143">
                  <c:v>119.02533088091958</c:v>
                </c:pt>
                <c:pt idx="144">
                  <c:v>119.58035474228555</c:v>
                </c:pt>
                <c:pt idx="145">
                  <c:v>120.14149130276395</c:v>
                </c:pt>
                <c:pt idx="146">
                  <c:v>120.70856768021305</c:v>
                </c:pt>
                <c:pt idx="147">
                  <c:v>121.28139851908421</c:v>
                </c:pt>
                <c:pt idx="148">
                  <c:v>121.85978599940778</c:v>
                </c:pt>
                <c:pt idx="149">
                  <c:v>122.44351989554167</c:v>
                </c:pt>
                <c:pt idx="150">
                  <c:v>123.03237768679197</c:v>
                </c:pt>
                <c:pt idx="151">
                  <c:v>123.62612472168962</c:v>
                </c:pt>
                <c:pt idx="152">
                  <c:v>124.22451443734722</c:v>
                </c:pt>
                <c:pt idx="153">
                  <c:v>124.82728863492022</c:v>
                </c:pt>
                <c:pt idx="154">
                  <c:v>125.43417781175515</c:v>
                </c:pt>
                <c:pt idx="155">
                  <c:v>126.04490155034678</c:v>
                </c:pt>
                <c:pt idx="156">
                  <c:v>126.65916896372902</c:v>
                </c:pt>
                <c:pt idx="157">
                  <c:v>127.27667919640845</c:v>
                </c:pt>
                <c:pt idx="158">
                  <c:v>127.8971219794267</c:v>
                </c:pt>
                <c:pt idx="159">
                  <c:v>128.52017823760036</c:v>
                </c:pt>
                <c:pt idx="160">
                  <c:v>129.14552074645997</c:v>
                </c:pt>
                <c:pt idx="161">
                  <c:v>129.77281483588189</c:v>
                </c:pt>
                <c:pt idx="162">
                  <c:v>130.40171913690952</c:v>
                </c:pt>
                <c:pt idx="163">
                  <c:v>131.03188636777992</c:v>
                </c:pt>
                <c:pt idx="164">
                  <c:v>131.66296415473269</c:v>
                </c:pt>
                <c:pt idx="165">
                  <c:v>132.29459588277564</c:v>
                </c:pt>
                <c:pt idx="166">
                  <c:v>132.92642157123839</c:v>
                </c:pt>
                <c:pt idx="167">
                  <c:v>133.5580787686475</c:v>
                </c:pt>
                <c:pt idx="168">
                  <c:v>134.18920346122815</c:v>
                </c:pt>
                <c:pt idx="169">
                  <c:v>134.81943098917552</c:v>
                </c:pt>
                <c:pt idx="170">
                  <c:v>135.44839696473804</c:v>
                </c:pt>
                <c:pt idx="171">
                  <c:v>136.07573818613869</c:v>
                </c:pt>
                <c:pt idx="172">
                  <c:v>136.70109354140243</c:v>
                </c:pt>
                <c:pt idx="173">
                  <c:v>137.32410489627793</c:v>
                </c:pt>
                <c:pt idx="174">
                  <c:v>137.94441796063143</c:v>
                </c:pt>
                <c:pt idx="175">
                  <c:v>138.56168312794017</c:v>
                </c:pt>
                <c:pt idx="176">
                  <c:v>139.17555628282415</c:v>
                </c:pt>
                <c:pt idx="177">
                  <c:v>139.78569957192633</c:v>
                </c:pt>
                <c:pt idx="178">
                  <c:v>140.3917821338591</c:v>
                </c:pt>
                <c:pt idx="179">
                  <c:v>140.99348078439093</c:v>
                </c:pt>
                <c:pt idx="180">
                  <c:v>141.59048065354318</c:v>
                </c:pt>
                <c:pt idx="181">
                  <c:v>142.18247577175762</c:v>
                </c:pt>
                <c:pt idx="182">
                  <c:v>142.76916960284373</c:v>
                </c:pt>
                <c:pt idx="183">
                  <c:v>143.35027552193179</c:v>
                </c:pt>
                <c:pt idx="184">
                  <c:v>143.92551723719532</c:v>
                </c:pt>
                <c:pt idx="185">
                  <c:v>144.49462915463431</c:v>
                </c:pt>
                <c:pt idx="186">
                  <c:v>145.05735668571114</c:v>
                </c:pt>
                <c:pt idx="187">
                  <c:v>145.61345649812228</c:v>
                </c:pt>
                <c:pt idx="188">
                  <c:v>146.16269671043952</c:v>
                </c:pt>
                <c:pt idx="189">
                  <c:v>146.70485703179426</c:v>
                </c:pt>
                <c:pt idx="190">
                  <c:v>147.2397288481429</c:v>
                </c:pt>
                <c:pt idx="191">
                  <c:v>147.76711525702578</c:v>
                </c:pt>
                <c:pt idx="192">
                  <c:v>148.28683105302321</c:v>
                </c:pt>
                <c:pt idx="193">
                  <c:v>148.79870266637406</c:v>
                </c:pt>
                <c:pt idx="194">
                  <c:v>149.30256805745998</c:v>
                </c:pt>
                <c:pt idx="195">
                  <c:v>149.79827657001388</c:v>
                </c:pt>
                <c:pt idx="196">
                  <c:v>150.2856887460643</c:v>
                </c:pt>
                <c:pt idx="197">
                  <c:v>150.76467610571473</c:v>
                </c:pt>
                <c:pt idx="198">
                  <c:v>151.23512089490947</c:v>
                </c:pt>
                <c:pt idx="199">
                  <c:v>151.69691580437376</c:v>
                </c:pt>
                <c:pt idx="200">
                  <c:v>152.14996366288077</c:v>
                </c:pt>
                <c:pt idx="201">
                  <c:v>152.59417710798519</c:v>
                </c:pt>
                <c:pt idx="202">
                  <c:v>153.02947823726495</c:v>
                </c:pt>
                <c:pt idx="203">
                  <c:v>153.45579824305014</c:v>
                </c:pt>
                <c:pt idx="204">
                  <c:v>153.87307703348171</c:v>
                </c:pt>
                <c:pt idx="205">
                  <c:v>154.28126284263377</c:v>
                </c:pt>
                <c:pt idx="206">
                  <c:v>154.68031183228553</c:v>
                </c:pt>
                <c:pt idx="207">
                  <c:v>155.0701876877701</c:v>
                </c:pt>
                <c:pt idx="208">
                  <c:v>155.45086121018571</c:v>
                </c:pt>
                <c:pt idx="209">
                  <c:v>155.82230990707171</c:v>
                </c:pt>
                <c:pt idx="210">
                  <c:v>156.18451758350059</c:v>
                </c:pt>
                <c:pt idx="211">
                  <c:v>156.53747393536094</c:v>
                </c:pt>
                <c:pt idx="212">
                  <c:v>156.88117414644486</c:v>
                </c:pt>
                <c:pt idx="213">
                  <c:v>157.21561849079069</c:v>
                </c:pt>
                <c:pt idx="214">
                  <c:v>157.54081194157206</c:v>
                </c:pt>
                <c:pt idx="215">
                  <c:v>157.85676378767508</c:v>
                </c:pt>
                <c:pt idx="216">
                  <c:v>158.16348725895574</c:v>
                </c:pt>
                <c:pt idx="217">
                  <c:v>158.46099916103807</c:v>
                </c:pt>
                <c:pt idx="218">
                  <c:v>158.74931952037602</c:v>
                </c:pt>
                <c:pt idx="219">
                  <c:v>159.0284712401839</c:v>
                </c:pt>
                <c:pt idx="220">
                  <c:v>159.29847976772987</c:v>
                </c:pt>
                <c:pt idx="221">
                  <c:v>159.55937277337662</c:v>
                </c:pt>
                <c:pt idx="222">
                  <c:v>159.81117984166161</c:v>
                </c:pt>
                <c:pt idx="223">
                  <c:v>160.05393217462378</c:v>
                </c:pt>
                <c:pt idx="224">
                  <c:v>160.28766230750006</c:v>
                </c:pt>
                <c:pt idx="225">
                  <c:v>160.51240383684916</c:v>
                </c:pt>
                <c:pt idx="226">
                  <c:v>160.7281911610994</c:v>
                </c:pt>
                <c:pt idx="227">
                  <c:v>160.93505923345475</c:v>
                </c:pt>
                <c:pt idx="228">
                  <c:v>161.13304332705485</c:v>
                </c:pt>
                <c:pt idx="229">
                  <c:v>161.32217881224096</c:v>
                </c:pt>
                <c:pt idx="230">
                  <c:v>161.5025009457427</c:v>
                </c:pt>
                <c:pt idx="231">
                  <c:v>161.67404467157553</c:v>
                </c:pt>
                <c:pt idx="232">
                  <c:v>161.83684443341554</c:v>
                </c:pt>
                <c:pt idx="233">
                  <c:v>161.99093399820228</c:v>
                </c:pt>
                <c:pt idx="234">
                  <c:v>162.13634629070103</c:v>
                </c:pt>
                <c:pt idx="235">
                  <c:v>162.27311323875591</c:v>
                </c:pt>
                <c:pt idx="236">
                  <c:v>162.40126562895608</c:v>
                </c:pt>
                <c:pt idx="237">
                  <c:v>162.52083297243493</c:v>
                </c:pt>
                <c:pt idx="238">
                  <c:v>162.63184338052895</c:v>
                </c:pt>
                <c:pt idx="239">
                  <c:v>162.734323450023</c:v>
                </c:pt>
                <c:pt idx="240">
                  <c:v>162.8282981577222</c:v>
                </c:pt>
                <c:pt idx="241">
                  <c:v>162.91379076409345</c:v>
                </c:pt>
                <c:pt idx="242">
                  <c:v>162.990822725741</c:v>
                </c:pt>
                <c:pt idx="243">
                  <c:v>163.05941361648442</c:v>
                </c:pt>
                <c:pt idx="244">
                  <c:v>163.11958105683053</c:v>
                </c:pt>
                <c:pt idx="245">
                  <c:v>163.17134065164745</c:v>
                </c:pt>
                <c:pt idx="246">
                  <c:v>163.21470593585909</c:v>
                </c:pt>
                <c:pt idx="247">
                  <c:v>163.24968832801039</c:v>
                </c:pt>
                <c:pt idx="248">
                  <c:v>163.2762970915611</c:v>
                </c:pt>
                <c:pt idx="249">
                  <c:v>163.29453930379808</c:v>
                </c:pt>
                <c:pt idx="250">
                  <c:v>163.30441983226834</c:v>
                </c:pt>
                <c:pt idx="251">
                  <c:v>163.30594131866241</c:v>
                </c:pt>
                <c:pt idx="252">
                  <c:v>163.29910417009953</c:v>
                </c:pt>
                <c:pt idx="253">
                  <c:v>163.28390655778654</c:v>
                </c:pt>
                <c:pt idx="254">
                  <c:v>163.26034442304604</c:v>
                </c:pt>
                <c:pt idx="255">
                  <c:v>163.2284114907342</c:v>
                </c:pt>
                <c:pt idx="256">
                  <c:v>163.18809929008773</c:v>
                </c:pt>
                <c:pt idx="257">
                  <c:v>163.13939718306474</c:v>
                </c:pt>
                <c:pt idx="258">
                  <c:v>163.0822924002637</c:v>
                </c:pt>
                <c:pt idx="259">
                  <c:v>163.01677008453166</c:v>
                </c:pt>
                <c:pt idx="260">
                  <c:v>162.94281334238534</c:v>
                </c:pt>
                <c:pt idx="261">
                  <c:v>162.86040330339929</c:v>
                </c:pt>
                <c:pt idx="262">
                  <c:v>162.76951918772582</c:v>
                </c:pt>
                <c:pt idx="263">
                  <c:v>162.67013838193779</c:v>
                </c:pt>
                <c:pt idx="264">
                  <c:v>162.56223652339537</c:v>
                </c:pt>
                <c:pt idx="265">
                  <c:v>162.44578759336159</c:v>
                </c:pt>
                <c:pt idx="266">
                  <c:v>162.32076401909998</c:v>
                </c:pt>
                <c:pt idx="267">
                  <c:v>162.18713678520325</c:v>
                </c:pt>
                <c:pt idx="268">
                  <c:v>162.04487555441474</c:v>
                </c:pt>
                <c:pt idx="269">
                  <c:v>161.89394879820634</c:v>
                </c:pt>
                <c:pt idx="270">
                  <c:v>161.73432393739211</c:v>
                </c:pt>
                <c:pt idx="271">
                  <c:v>161.56596749305237</c:v>
                </c:pt>
                <c:pt idx="272">
                  <c:v>161.38884524804641</c:v>
                </c:pt>
                <c:pt idx="273">
                  <c:v>161.20292241938864</c:v>
                </c:pt>
                <c:pt idx="274">
                  <c:v>161.00816384175792</c:v>
                </c:pt>
                <c:pt idx="275">
                  <c:v>160.80453416239197</c:v>
                </c:pt>
                <c:pt idx="276">
                  <c:v>160.59199804761153</c:v>
                </c:pt>
                <c:pt idx="277">
                  <c:v>160.37052040119249</c:v>
                </c:pt>
                <c:pt idx="278">
                  <c:v>160.14006659477943</c:v>
                </c:pt>
                <c:pt idx="279">
                  <c:v>159.90060271050308</c:v>
                </c:pt>
                <c:pt idx="280">
                  <c:v>159.65209579592397</c:v>
                </c:pt>
                <c:pt idx="281">
                  <c:v>159.3945141313819</c:v>
                </c:pt>
                <c:pt idx="282">
                  <c:v>159.12782750977817</c:v>
                </c:pt>
                <c:pt idx="283">
                  <c:v>158.8520075287565</c:v>
                </c:pt>
                <c:pt idx="284">
                  <c:v>158.56702789518337</c:v>
                </c:pt>
                <c:pt idx="285">
                  <c:v>158.27286474175293</c:v>
                </c:pt>
                <c:pt idx="286">
                  <c:v>157.96949695545797</c:v>
                </c:pt>
                <c:pt idx="287">
                  <c:v>157.65690651757191</c:v>
                </c:pt>
                <c:pt idx="288">
                  <c:v>157.33507885469504</c:v>
                </c:pt>
                <c:pt idx="289">
                  <c:v>157.00400320029746</c:v>
                </c:pt>
                <c:pt idx="290">
                  <c:v>156.66367296607945</c:v>
                </c:pt>
                <c:pt idx="291">
                  <c:v>156.31408612234324</c:v>
                </c:pt>
                <c:pt idx="292">
                  <c:v>155.9552455864274</c:v>
                </c:pt>
                <c:pt idx="293">
                  <c:v>155.58715961812408</c:v>
                </c:pt>
                <c:pt idx="294">
                  <c:v>155.20984222083678</c:v>
                </c:pt>
                <c:pt idx="295">
                  <c:v>154.82331354709029</c:v>
                </c:pt>
                <c:pt idx="296">
                  <c:v>154.42760030683931</c:v>
                </c:pt>
                <c:pt idx="297">
                  <c:v>154.02273617685552</c:v>
                </c:pt>
                <c:pt idx="298">
                  <c:v>153.60876220931286</c:v>
                </c:pt>
                <c:pt idx="299">
                  <c:v>153.18572723751649</c:v>
                </c:pt>
                <c:pt idx="300">
                  <c:v>152.75368827656123</c:v>
                </c:pt>
                <c:pt idx="301">
                  <c:v>152.31271091654122</c:v>
                </c:pt>
                <c:pt idx="302">
                  <c:v>151.8628697057807</c:v>
                </c:pt>
                <c:pt idx="303">
                  <c:v>151.4042485214064</c:v>
                </c:pt>
                <c:pt idx="304">
                  <c:v>150.93694092445429</c:v>
                </c:pt>
                <c:pt idx="305">
                  <c:v>150.46105049658311</c:v>
                </c:pt>
                <c:pt idx="306">
                  <c:v>149.97669115536837</c:v>
                </c:pt>
                <c:pt idx="307">
                  <c:v>149.48398744507421</c:v>
                </c:pt>
                <c:pt idx="308">
                  <c:v>148.98307479974986</c:v>
                </c:pt>
                <c:pt idx="309">
                  <c:v>148.4740997754719</c:v>
                </c:pt>
                <c:pt idx="310">
                  <c:v>147.95722024856516</c:v>
                </c:pt>
                <c:pt idx="311">
                  <c:v>147.43260557667816</c:v>
                </c:pt>
                <c:pt idx="312">
                  <c:v>146.90043671966663</c:v>
                </c:pt>
                <c:pt idx="313">
                  <c:v>146.36090631736261</c:v>
                </c:pt>
                <c:pt idx="314">
                  <c:v>145.81421872147024</c:v>
                </c:pt>
                <c:pt idx="315">
                  <c:v>145.2605899790257</c:v>
                </c:pt>
                <c:pt idx="316">
                  <c:v>144.70024776512182</c:v>
                </c:pt>
                <c:pt idx="317">
                  <c:v>144.13343126286722</c:v>
                </c:pt>
                <c:pt idx="318">
                  <c:v>143.56039098891159</c:v>
                </c:pt>
                <c:pt idx="319">
                  <c:v>142.98138856321597</c:v>
                </c:pt>
                <c:pt idx="320">
                  <c:v>142.39669642217606</c:v>
                </c:pt>
                <c:pt idx="321">
                  <c:v>141.80659747464804</c:v>
                </c:pt>
                <c:pt idx="322">
                  <c:v>141.2113847008971</c:v>
                </c:pt>
                <c:pt idx="323">
                  <c:v>140.61136069500395</c:v>
                </c:pt>
                <c:pt idx="324">
                  <c:v>140.0068371517587</c:v>
                </c:pt>
                <c:pt idx="325">
                  <c:v>139.39813429963209</c:v>
                </c:pt>
                <c:pt idx="326">
                  <c:v>138.78558028192086</c:v>
                </c:pt>
                <c:pt idx="327">
                  <c:v>138.16951048870732</c:v>
                </c:pt>
                <c:pt idx="328">
                  <c:v>137.55026684279056</c:v>
                </c:pt>
                <c:pt idx="329">
                  <c:v>136.928197043236</c:v>
                </c:pt>
                <c:pt idx="330">
                  <c:v>136.30365377066605</c:v>
                </c:pt>
                <c:pt idx="331">
                  <c:v>135.67699385883338</c:v>
                </c:pt>
                <c:pt idx="332">
                  <c:v>135.04857743741604</c:v>
                </c:pt>
                <c:pt idx="333">
                  <c:v>134.41876705129073</c:v>
                </c:pt>
                <c:pt idx="334">
                  <c:v>133.78792676183491</c:v>
                </c:pt>
                <c:pt idx="335">
                  <c:v>133.15642123599608</c:v>
                </c:pt>
                <c:pt idx="336">
                  <c:v>132.52461482903499</c:v>
                </c:pt>
                <c:pt idx="337">
                  <c:v>131.89287066690028</c:v>
                </c:pt>
                <c:pt idx="338">
                  <c:v>131.26154973421612</c:v>
                </c:pt>
                <c:pt idx="339">
                  <c:v>130.63100997377325</c:v>
                </c:pt>
                <c:pt idx="340">
                  <c:v>130.00160540329946</c:v>
                </c:pt>
                <c:pt idx="341">
                  <c:v>129.37368525505042</c:v>
                </c:pt>
                <c:pt idx="342">
                  <c:v>128.74759314351874</c:v>
                </c:pt>
                <c:pt idx="343">
                  <c:v>128.12366626621045</c:v>
                </c:pt>
                <c:pt idx="344">
                  <c:v>127.50223464206498</c:v>
                </c:pt>
                <c:pt idx="345">
                  <c:v>126.88362039166854</c:v>
                </c:pt>
                <c:pt idx="346">
                  <c:v>126.26813706294071</c:v>
                </c:pt>
                <c:pt idx="347">
                  <c:v>125.65608900548837</c:v>
                </c:pt>
                <c:pt idx="348">
                  <c:v>125.04777079629099</c:v>
                </c:pt>
                <c:pt idx="349">
                  <c:v>124.44346671886977</c:v>
                </c:pt>
                <c:pt idx="350">
                  <c:v>123.843450297548</c:v>
                </c:pt>
                <c:pt idx="351">
                  <c:v>123.24798388787444</c:v>
                </c:pt>
                <c:pt idx="352">
                  <c:v>122.65731832378472</c:v>
                </c:pt>
                <c:pt idx="353">
                  <c:v>122.07169262154495</c:v>
                </c:pt>
                <c:pt idx="354">
                  <c:v>121.49133374006674</c:v>
                </c:pt>
                <c:pt idx="355">
                  <c:v>120.91645639672112</c:v>
                </c:pt>
                <c:pt idx="356">
                  <c:v>120.34726293737393</c:v>
                </c:pt>
                <c:pt idx="357">
                  <c:v>119.78394325897992</c:v>
                </c:pt>
                <c:pt idx="358">
                  <c:v>119.22667478274239</c:v>
                </c:pt>
                <c:pt idx="359">
                  <c:v>118.67562247555088</c:v>
                </c:pt>
                <c:pt idx="360">
                  <c:v>118.13093891715337</c:v>
                </c:pt>
                <c:pt idx="361">
                  <c:v>117.59276441032158</c:v>
                </c:pt>
                <c:pt idx="362">
                  <c:v>117.06122713109033</c:v>
                </c:pt>
                <c:pt idx="363">
                  <c:v>116.53644331604315</c:v>
                </c:pt>
                <c:pt idx="364">
                  <c:v>116.0185174835228</c:v>
                </c:pt>
                <c:pt idx="365">
                  <c:v>115.50754268560244</c:v>
                </c:pt>
                <c:pt idx="366">
                  <c:v>115.00360078764724</c:v>
                </c:pt>
                <c:pt idx="367">
                  <c:v>114.50676277230974</c:v>
                </c:pt>
                <c:pt idx="368">
                  <c:v>114.0170890648611</c:v>
                </c:pt>
                <c:pt idx="369">
                  <c:v>113.5346298768269</c:v>
                </c:pt>
                <c:pt idx="370">
                  <c:v>113.05942556500312</c:v>
                </c:pt>
                <c:pt idx="371">
                  <c:v>112.59150700303893</c:v>
                </c:pt>
                <c:pt idx="372">
                  <c:v>112.13089596290776</c:v>
                </c:pt>
                <c:pt idx="373">
                  <c:v>111.67760550373303</c:v>
                </c:pt>
                <c:pt idx="374">
                  <c:v>111.23164036558732</c:v>
                </c:pt>
                <c:pt idx="375">
                  <c:v>110.79299736605263</c:v>
                </c:pt>
                <c:pt idx="376">
                  <c:v>110.36166579748476</c:v>
                </c:pt>
                <c:pt idx="377">
                  <c:v>109.93762782310039</c:v>
                </c:pt>
                <c:pt idx="378">
                  <c:v>109.52085887017213</c:v>
                </c:pt>
                <c:pt idx="379">
                  <c:v>109.11132801877942</c:v>
                </c:pt>
                <c:pt idx="380">
                  <c:v>108.70899838472752</c:v>
                </c:pt>
                <c:pt idx="381">
                  <c:v>108.31382749540956</c:v>
                </c:pt>
                <c:pt idx="382">
                  <c:v>107.92576765752601</c:v>
                </c:pt>
                <c:pt idx="383">
                  <c:v>107.5447663157358</c:v>
                </c:pt>
                <c:pt idx="384">
                  <c:v>107.1707664014387</c:v>
                </c:pt>
                <c:pt idx="385">
                  <c:v>106.80370667102643</c:v>
                </c:pt>
                <c:pt idx="386">
                  <c:v>106.44352203305537</c:v>
                </c:pt>
                <c:pt idx="387">
                  <c:v>106.09014386391132</c:v>
                </c:pt>
                <c:pt idx="388">
                  <c:v>105.74350031163495</c:v>
                </c:pt>
                <c:pt idx="389">
                  <c:v>105.40351658767915</c:v>
                </c:pt>
                <c:pt idx="390">
                  <c:v>105.07011524644984</c:v>
                </c:pt>
                <c:pt idx="391">
                  <c:v>104.7432164525645</c:v>
                </c:pt>
                <c:pt idx="392">
                  <c:v>104.42273823583179</c:v>
                </c:pt>
                <c:pt idx="393">
                  <c:v>104.1085967340192</c:v>
                </c:pt>
                <c:pt idx="394">
                  <c:v>103.80070642353189</c:v>
                </c:pt>
                <c:pt idx="395">
                  <c:v>103.49898033817387</c:v>
                </c:pt>
                <c:pt idx="396">
                  <c:v>103.20333027620447</c:v>
                </c:pt>
                <c:pt idx="397">
                  <c:v>102.91366699594293</c:v>
                </c:pt>
                <c:pt idx="398">
                  <c:v>102.62990040020144</c:v>
                </c:pt>
                <c:pt idx="399">
                  <c:v>102.35193970985162</c:v>
                </c:pt>
                <c:pt idx="400">
                  <c:v>102.07969362685563</c:v>
                </c:pt>
                <c:pt idx="401">
                  <c:v>101.81307048710497</c:v>
                </c:pt>
                <c:pt idx="402">
                  <c:v>101.55197840342328</c:v>
                </c:pt>
                <c:pt idx="403">
                  <c:v>101.29632539910179</c:v>
                </c:pt>
                <c:pt idx="404">
                  <c:v>101.0460195323376</c:v>
                </c:pt>
                <c:pt idx="405">
                  <c:v>100.80096901195245</c:v>
                </c:pt>
                <c:pt idx="406">
                  <c:v>100.56108230476634</c:v>
                </c:pt>
                <c:pt idx="407">
                  <c:v>100.32626823500355</c:v>
                </c:pt>
                <c:pt idx="408">
                  <c:v>100.0964360760987</c:v>
                </c:pt>
                <c:pt idx="409">
                  <c:v>99.871495635273476</c:v>
                </c:pt>
                <c:pt idx="410">
                  <c:v>99.65135733124032</c:v>
                </c:pt>
                <c:pt idx="411">
                  <c:v>99.435932265387535</c:v>
                </c:pt>
                <c:pt idx="412">
                  <c:v>99.225132286788281</c:v>
                </c:pt>
                <c:pt idx="413">
                  <c:v>99.018870051368324</c:v>
                </c:pt>
                <c:pt idx="414">
                  <c:v>98.81705907555542</c:v>
                </c:pt>
                <c:pt idx="415">
                  <c:v>98.619613784724962</c:v>
                </c:pt>
                <c:pt idx="416">
                  <c:v>98.426449556742867</c:v>
                </c:pt>
                <c:pt idx="417">
                  <c:v>98.237482760897592</c:v>
                </c:pt>
                <c:pt idx="418">
                  <c:v>98.052630792500679</c:v>
                </c:pt>
                <c:pt idx="419">
                  <c:v>97.871812103423608</c:v>
                </c:pt>
                <c:pt idx="420">
                  <c:v>97.694946228827561</c:v>
                </c:pt>
                <c:pt idx="421">
                  <c:v>97.521953810331524</c:v>
                </c:pt>
                <c:pt idx="422">
                  <c:v>97.352756615852499</c:v>
                </c:pt>
                <c:pt idx="423">
                  <c:v>97.187277556339552</c:v>
                </c:pt>
                <c:pt idx="424">
                  <c:v>97.02544069961543</c:v>
                </c:pt>
                <c:pt idx="425">
                  <c:v>96.867171281525202</c:v>
                </c:pt>
                <c:pt idx="426">
                  <c:v>96.712395714582769</c:v>
                </c:pt>
                <c:pt idx="427">
                  <c:v>96.561041594297635</c:v>
                </c:pt>
                <c:pt idx="428">
                  <c:v>96.413037703351463</c:v>
                </c:pt>
                <c:pt idx="429">
                  <c:v>96.268314013785627</c:v>
                </c:pt>
                <c:pt idx="430">
                  <c:v>96.126801687354586</c:v>
                </c:pt>
                <c:pt idx="431">
                  <c:v>95.988433074186347</c:v>
                </c:pt>
                <c:pt idx="432">
                  <c:v>95.85314170988778</c:v>
                </c:pt>
                <c:pt idx="433">
                  <c:v>95.72086231122033</c:v>
                </c:pt>
                <c:pt idx="434">
                  <c:v>95.591530770468069</c:v>
                </c:pt>
                <c:pt idx="435">
                  <c:v>95.465084148608938</c:v>
                </c:pt>
                <c:pt idx="436">
                  <c:v>95.341460667396348</c:v>
                </c:pt>
                <c:pt idx="437">
                  <c:v>95.220599700448801</c:v>
                </c:pt>
                <c:pt idx="438">
                  <c:v>95.102441763441846</c:v>
                </c:pt>
                <c:pt idx="439">
                  <c:v>94.986928503487775</c:v>
                </c:pt>
                <c:pt idx="440">
                  <c:v>94.874002687785037</c:v>
                </c:pt>
                <c:pt idx="441">
                  <c:v>94.763608191613159</c:v>
                </c:pt>
                <c:pt idx="442">
                  <c:v>94.655689985743223</c:v>
                </c:pt>
                <c:pt idx="443">
                  <c:v>94.550194123331025</c:v>
                </c:pt>
                <c:pt idx="444">
                  <c:v>94.447067726352628</c:v>
                </c:pt>
                <c:pt idx="445">
                  <c:v>94.346258971641348</c:v>
                </c:pt>
                <c:pt idx="446">
                  <c:v>94.247717076577658</c:v>
                </c:pt>
                <c:pt idx="447">
                  <c:v>94.151392284482085</c:v>
                </c:pt>
                <c:pt idx="448">
                  <c:v>94.05723584975668</c:v>
                </c:pt>
                <c:pt idx="449">
                  <c:v>93.965200022817442</c:v>
                </c:pt>
                <c:pt idx="450">
                  <c:v>93.875238034856721</c:v>
                </c:pt>
                <c:pt idx="451">
                  <c:v>93.787304082471948</c:v>
                </c:pt>
                <c:pt idx="452">
                  <c:v>93.701353312194314</c:v>
                </c:pt>
                <c:pt idx="453">
                  <c:v>93.617341804947571</c:v>
                </c:pt>
                <c:pt idx="454">
                  <c:v>93.535226560466342</c:v>
                </c:pt>
                <c:pt idx="455">
                  <c:v>93.454965481698949</c:v>
                </c:pt>
                <c:pt idx="456">
                  <c:v>93.376517359219818</c:v>
                </c:pt>
                <c:pt idx="457">
                  <c:v>93.299841855672199</c:v>
                </c:pt>
                <c:pt idx="458">
                  <c:v>93.224899490262302</c:v>
                </c:pt>
                <c:pt idx="459">
                  <c:v>93.151651623322522</c:v>
                </c:pt>
                <c:pt idx="460">
                  <c:v>93.080060440960665</c:v>
                </c:pt>
                <c:pt idx="461">
                  <c:v>93.010088939810416</c:v>
                </c:pt>
                <c:pt idx="462">
                  <c:v>92.941700911896532</c:v>
                </c:pt>
                <c:pt idx="463">
                  <c:v>92.874860929627431</c:v>
                </c:pt>
                <c:pt idx="464">
                  <c:v>92.809534330925771</c:v>
                </c:pt>
                <c:pt idx="465">
                  <c:v>92.745687204508243</c:v>
                </c:pt>
                <c:pt idx="466">
                  <c:v>92.683286375322126</c:v>
                </c:pt>
                <c:pt idx="467">
                  <c:v>92.622299390147475</c:v>
                </c:pt>
                <c:pt idx="468">
                  <c:v>92.562694503371716</c:v>
                </c:pt>
                <c:pt idx="469">
                  <c:v>92.504440662942841</c:v>
                </c:pt>
                <c:pt idx="470">
                  <c:v>92.447507496506731</c:v>
                </c:pt>
                <c:pt idx="471">
                  <c:v>92.391865297732991</c:v>
                </c:pt>
                <c:pt idx="472">
                  <c:v>92.337485012833696</c:v>
                </c:pt>
                <c:pt idx="473">
                  <c:v>92.284338227278113</c:v>
                </c:pt>
                <c:pt idx="474">
                  <c:v>92.232397152706142</c:v>
                </c:pt>
                <c:pt idx="475">
                  <c:v>92.181634614043318</c:v>
                </c:pt>
                <c:pt idx="476">
                  <c:v>92.132024036818137</c:v>
                </c:pt>
                <c:pt idx="477">
                  <c:v>92.083539434684042</c:v>
                </c:pt>
                <c:pt idx="478">
                  <c:v>92.03615539714643</c:v>
                </c:pt>
                <c:pt idx="479">
                  <c:v>91.989847077495156</c:v>
                </c:pt>
                <c:pt idx="480">
                  <c:v>91.944590180942797</c:v>
                </c:pt>
                <c:pt idx="481">
                  <c:v>91.900360952969095</c:v>
                </c:pt>
                <c:pt idx="482">
                  <c:v>91.857136167869726</c:v>
                </c:pt>
                <c:pt idx="483">
                  <c:v>91.81489311751055</c:v>
                </c:pt>
                <c:pt idx="484">
                  <c:v>91.773609600284615</c:v>
                </c:pt>
                <c:pt idx="485">
                  <c:v>91.733263910272058</c:v>
                </c:pt>
                <c:pt idx="486">
                  <c:v>91.693834826600749</c:v>
                </c:pt>
                <c:pt idx="487">
                  <c:v>91.655301603006464</c:v>
                </c:pt>
                <c:pt idx="488">
                  <c:v>91.617643957590914</c:v>
                </c:pt>
                <c:pt idx="489">
                  <c:v>91.580842062775446</c:v>
                </c:pt>
                <c:pt idx="490">
                  <c:v>91.544876535448765</c:v>
                </c:pt>
                <c:pt idx="491">
                  <c:v>91.509728427306342</c:v>
                </c:pt>
                <c:pt idx="492">
                  <c:v>91.475379215379533</c:v>
                </c:pt>
                <c:pt idx="493">
                  <c:v>91.441810792751767</c:v>
                </c:pt>
                <c:pt idx="494">
                  <c:v>91.409005459459678</c:v>
                </c:pt>
                <c:pt idx="495">
                  <c:v>91.376945913576705</c:v>
                </c:pt>
                <c:pt idx="496">
                  <c:v>91.345615242476526</c:v>
                </c:pt>
                <c:pt idx="497">
                  <c:v>91.314996914273777</c:v>
                </c:pt>
                <c:pt idx="498">
                  <c:v>91.285074769439674</c:v>
                </c:pt>
                <c:pt idx="499">
                  <c:v>91.255833012589449</c:v>
                </c:pt>
                <c:pt idx="500">
                  <c:v>91.227256204439513</c:v>
                </c:pt>
                <c:pt idx="501">
                  <c:v>91.199329253931054</c:v>
                </c:pt>
                <c:pt idx="502">
                  <c:v>91.172037410517774</c:v>
                </c:pt>
                <c:pt idx="503">
                  <c:v>91.145366256614977</c:v>
                </c:pt>
                <c:pt idx="504">
                  <c:v>91.11930170020706</c:v>
                </c:pt>
                <c:pt idx="505">
                  <c:v>91.093829967611015</c:v>
                </c:pt>
                <c:pt idx="506">
                  <c:v>91.068937596392914</c:v>
                </c:pt>
                <c:pt idx="507">
                  <c:v>91.044611428434919</c:v>
                </c:pt>
                <c:pt idx="508">
                  <c:v>91.020838603149897</c:v>
                </c:pt>
                <c:pt idx="509">
                  <c:v>90.997606550841084</c:v>
                </c:pt>
                <c:pt idx="510">
                  <c:v>90.974902986204143</c:v>
                </c:pt>
                <c:pt idx="511">
                  <c:v>90.952715901968801</c:v>
                </c:pt>
                <c:pt idx="512">
                  <c:v>90.931033562677641</c:v>
                </c:pt>
                <c:pt idx="513">
                  <c:v>90.909844498599327</c:v>
                </c:pt>
                <c:pt idx="514">
                  <c:v>90.889137499773526</c:v>
                </c:pt>
                <c:pt idx="515">
                  <c:v>90.868901610185489</c:v>
                </c:pt>
                <c:pt idx="516">
                  <c:v>90.849126122066991</c:v>
                </c:pt>
                <c:pt idx="517">
                  <c:v>90.829800570321865</c:v>
                </c:pt>
                <c:pt idx="518">
                  <c:v>90.810914727073182</c:v>
                </c:pt>
                <c:pt idx="519">
                  <c:v>90.792458596329965</c:v>
                </c:pt>
                <c:pt idx="520">
                  <c:v>90.774422408770647</c:v>
                </c:pt>
                <c:pt idx="521">
                  <c:v>90.756796616641353</c:v>
                </c:pt>
                <c:pt idx="522">
                  <c:v>90.739571888766378</c:v>
                </c:pt>
                <c:pt idx="523">
                  <c:v>90.722739105668637</c:v>
                </c:pt>
                <c:pt idx="524">
                  <c:v>90.706289354797804</c:v>
                </c:pt>
                <c:pt idx="525">
                  <c:v>90.690213925864001</c:v>
                </c:pt>
                <c:pt idx="526">
                  <c:v>90.674504306274741</c:v>
                </c:pt>
                <c:pt idx="527">
                  <c:v>90.65915217667299</c:v>
                </c:pt>
                <c:pt idx="528">
                  <c:v>90.644149406574272</c:v>
                </c:pt>
                <c:pt idx="529">
                  <c:v>90.629488050100747</c:v>
                </c:pt>
                <c:pt idx="530">
                  <c:v>90.615160341810054</c:v>
                </c:pt>
                <c:pt idx="531">
                  <c:v>90.601158692617147</c:v>
                </c:pt>
                <c:pt idx="532">
                  <c:v>90.587475685806979</c:v>
                </c:pt>
                <c:pt idx="533">
                  <c:v>90.574104073136169</c:v>
                </c:pt>
                <c:pt idx="534">
                  <c:v>90.561036771021605</c:v>
                </c:pt>
                <c:pt idx="535">
                  <c:v>90.548266856814436</c:v>
                </c:pt>
                <c:pt idx="536">
                  <c:v>90.53578756515725</c:v>
                </c:pt>
                <c:pt idx="537">
                  <c:v>90.523592284422861</c:v>
                </c:pt>
                <c:pt idx="538">
                  <c:v>90.511674553232808</c:v>
                </c:pt>
                <c:pt idx="539">
                  <c:v>90.500028057054109</c:v>
                </c:pt>
                <c:pt idx="540">
                  <c:v>90.488646624872132</c:v>
                </c:pt>
                <c:pt idx="541">
                  <c:v>90.477524225938225</c:v>
                </c:pt>
              </c:numCache>
            </c:numRef>
          </c:yVal>
          <c:smooth val="1"/>
          <c:extLst>
            <c:ext xmlns:c16="http://schemas.microsoft.com/office/drawing/2014/chart" uri="{C3380CC4-5D6E-409C-BE32-E72D297353CC}">
              <c16:uniqueId val="{00000001-0B5D-4E78-BD48-CC54C4E43363}"/>
            </c:ext>
          </c:extLst>
        </c:ser>
        <c:dLbls>
          <c:showLegendKey val="0"/>
          <c:showVal val="0"/>
          <c:showCatName val="0"/>
          <c:showSerName val="0"/>
          <c:showPercent val="0"/>
          <c:showBubbleSize val="0"/>
        </c:dLbls>
        <c:axId val="365441024"/>
        <c:axId val="365439232"/>
      </c:scatterChart>
      <c:valAx>
        <c:axId val="555280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37312"/>
        <c:crosses val="autoZero"/>
        <c:crossBetween val="midCat"/>
      </c:valAx>
      <c:valAx>
        <c:axId val="365437312"/>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80640"/>
        <c:crosses val="autoZero"/>
        <c:crossBetween val="midCat"/>
        <c:majorUnit val="20"/>
        <c:minorUnit val="10"/>
      </c:valAx>
      <c:valAx>
        <c:axId val="365439232"/>
        <c:scaling>
          <c:orientation val="minMax"/>
          <c:max val="180"/>
          <c:min val="-180"/>
        </c:scaling>
        <c:delete val="0"/>
        <c:axPos val="r"/>
        <c:numFmt formatCode="General" sourceLinked="1"/>
        <c:majorTickMark val="out"/>
        <c:minorTickMark val="none"/>
        <c:tickLblPos val="nextTo"/>
        <c:crossAx val="365441024"/>
        <c:crosses val="max"/>
        <c:crossBetween val="midCat"/>
        <c:majorUnit val="90"/>
        <c:minorUnit val="45"/>
      </c:valAx>
      <c:valAx>
        <c:axId val="365441024"/>
        <c:scaling>
          <c:logBase val="10"/>
          <c:orientation val="minMax"/>
        </c:scaling>
        <c:delete val="1"/>
        <c:axPos val="b"/>
        <c:numFmt formatCode="0.00" sourceLinked="1"/>
        <c:majorTickMark val="out"/>
        <c:minorTickMark val="none"/>
        <c:tickLblPos val="nextTo"/>
        <c:crossAx val="365439232"/>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78.969602165554448</c:v>
                </c:pt>
                <c:pt idx="1">
                  <c:v>78.754145440681555</c:v>
                </c:pt>
                <c:pt idx="2">
                  <c:v>78.538019708376353</c:v>
                </c:pt>
                <c:pt idx="3">
                  <c:v>78.321198689069035</c:v>
                </c:pt>
                <c:pt idx="4">
                  <c:v>78.103655305593563</c:v>
                </c:pt>
                <c:pt idx="5">
                  <c:v>77.885361679588769</c:v>
                </c:pt>
                <c:pt idx="6">
                  <c:v>77.666289129951622</c:v>
                </c:pt>
                <c:pt idx="7">
                  <c:v>77.446408173532262</c:v>
                </c:pt>
                <c:pt idx="8">
                  <c:v>77.225688528265522</c:v>
                </c:pt>
                <c:pt idx="9">
                  <c:v>77.004099118941454</c:v>
                </c:pt>
                <c:pt idx="10">
                  <c:v>76.781608085817965</c:v>
                </c:pt>
                <c:pt idx="11">
                  <c:v>76.558182796283091</c:v>
                </c:pt>
                <c:pt idx="12">
                  <c:v>76.333789859775877</c:v>
                </c:pt>
                <c:pt idx="13">
                  <c:v>76.108395146171759</c:v>
                </c:pt>
                <c:pt idx="14">
                  <c:v>75.881963807838673</c:v>
                </c:pt>
                <c:pt idx="15">
                  <c:v>75.654460305563575</c:v>
                </c:pt>
                <c:pt idx="16">
                  <c:v>75.425848438541635</c:v>
                </c:pt>
                <c:pt idx="17">
                  <c:v>75.196091378613247</c:v>
                </c:pt>
                <c:pt idx="18">
                  <c:v>74.96515170891891</c:v>
                </c:pt>
                <c:pt idx="19">
                  <c:v>74.732991467127533</c:v>
                </c:pt>
                <c:pt idx="20">
                  <c:v>74.499572193376608</c:v>
                </c:pt>
                <c:pt idx="21">
                  <c:v>74.264854983039868</c:v>
                </c:pt>
                <c:pt idx="22">
                  <c:v>74.028800544412775</c:v>
                </c:pt>
                <c:pt idx="23">
                  <c:v>73.79136926137906</c:v>
                </c:pt>
                <c:pt idx="24">
                  <c:v>73.552521261088884</c:v>
                </c:pt>
                <c:pt idx="25">
                  <c:v>73.312216486644189</c:v>
                </c:pt>
                <c:pt idx="26">
                  <c:v>73.070414774748286</c:v>
                </c:pt>
                <c:pt idx="27">
                  <c:v>72.827075938235609</c:v>
                </c:pt>
                <c:pt idx="28">
                  <c:v>72.582159853352039</c:v>
                </c:pt>
                <c:pt idx="29">
                  <c:v>72.33562655160982</c:v>
                </c:pt>
                <c:pt idx="30">
                  <c:v>72.087436315991781</c:v>
                </c:pt>
                <c:pt idx="31">
                  <c:v>71.837549781227793</c:v>
                </c:pt>
                <c:pt idx="32">
                  <c:v>71.585928037815037</c:v>
                </c:pt>
                <c:pt idx="33">
                  <c:v>71.33253273939907</c:v>
                </c:pt>
                <c:pt idx="34">
                  <c:v>71.0773262130826</c:v>
                </c:pt>
                <c:pt idx="35">
                  <c:v>70.820271572174235</c:v>
                </c:pt>
                <c:pt idx="36">
                  <c:v>70.561332830840271</c:v>
                </c:pt>
                <c:pt idx="37">
                  <c:v>70.300475020076121</c:v>
                </c:pt>
                <c:pt idx="38">
                  <c:v>70.037664304367993</c:v>
                </c:pt>
                <c:pt idx="39">
                  <c:v>69.772868098376591</c:v>
                </c:pt>
                <c:pt idx="40">
                  <c:v>69.506055182939875</c:v>
                </c:pt>
                <c:pt idx="41">
                  <c:v>69.237195819663668</c:v>
                </c:pt>
                <c:pt idx="42">
                  <c:v>68.96626186334781</c:v>
                </c:pt>
                <c:pt idx="43">
                  <c:v>68.693226871480434</c:v>
                </c:pt>
                <c:pt idx="44">
                  <c:v>68.418066210030105</c:v>
                </c:pt>
                <c:pt idx="45">
                  <c:v>68.140757154766035</c:v>
                </c:pt>
                <c:pt idx="46">
                  <c:v>67.861278987352719</c:v>
                </c:pt>
                <c:pt idx="47">
                  <c:v>67.57961308548505</c:v>
                </c:pt>
                <c:pt idx="48">
                  <c:v>67.295743006363551</c:v>
                </c:pt>
                <c:pt idx="49">
                  <c:v>67.009654562850073</c:v>
                </c:pt>
                <c:pt idx="50">
                  <c:v>66.721335891696071</c:v>
                </c:pt>
                <c:pt idx="51">
                  <c:v>66.430777513292796</c:v>
                </c:pt>
                <c:pt idx="52">
                  <c:v>66.137972382463317</c:v>
                </c:pt>
                <c:pt idx="53">
                  <c:v>65.842915929887582</c:v>
                </c:pt>
                <c:pt idx="54">
                  <c:v>65.545606093835573</c:v>
                </c:pt>
                <c:pt idx="55">
                  <c:v>65.246043341966029</c:v>
                </c:pt>
                <c:pt idx="56">
                  <c:v>64.944230683041894</c:v>
                </c:pt>
                <c:pt idx="57">
                  <c:v>64.640173668501731</c:v>
                </c:pt>
                <c:pt idx="58">
                  <c:v>64.333880383921866</c:v>
                </c:pt>
                <c:pt idx="59">
                  <c:v>64.025361430495408</c:v>
                </c:pt>
                <c:pt idx="60">
                  <c:v>63.71462989674594</c:v>
                </c:pt>
                <c:pt idx="61">
                  <c:v>63.401701320780298</c:v>
                </c:pt>
                <c:pt idx="62">
                  <c:v>63.086593643468333</c:v>
                </c:pt>
                <c:pt idx="63">
                  <c:v>62.76932715301443</c:v>
                </c:pt>
                <c:pt idx="64">
                  <c:v>62.449924421457752</c:v>
                </c:pt>
                <c:pt idx="65">
                  <c:v>62.128410233697792</c:v>
                </c:pt>
                <c:pt idx="66">
                  <c:v>61.804811509698879</c:v>
                </c:pt>
                <c:pt idx="67">
                  <c:v>61.479157220572191</c:v>
                </c:pt>
                <c:pt idx="68">
                  <c:v>61.151478299267936</c:v>
                </c:pt>
                <c:pt idx="69">
                  <c:v>60.821807546639242</c:v>
                </c:pt>
                <c:pt idx="70">
                  <c:v>60.490179533653581</c:v>
                </c:pt>
                <c:pt idx="71">
                  <c:v>60.156630500536451</c:v>
                </c:pt>
                <c:pt idx="72">
                  <c:v>59.821198253629618</c:v>
                </c:pt>
                <c:pt idx="73">
                  <c:v>59.483922060735111</c:v>
                </c:pt>
                <c:pt idx="74">
                  <c:v>59.144842545698822</c:v>
                </c:pt>
                <c:pt idx="75">
                  <c:v>58.804001582959849</c:v>
                </c:pt>
                <c:pt idx="76">
                  <c:v>58.461442192761616</c:v>
                </c:pt>
                <c:pt idx="77">
                  <c:v>58.117208437679579</c:v>
                </c:pt>
                <c:pt idx="78">
                  <c:v>57.771345321081171</c:v>
                </c:pt>
                <c:pt idx="79">
                  <c:v>57.423898688081863</c:v>
                </c:pt>
                <c:pt idx="80">
                  <c:v>57.074915129516341</c:v>
                </c:pt>
                <c:pt idx="81">
                  <c:v>56.724441889387514</c:v>
                </c:pt>
                <c:pt idx="82">
                  <c:v>56.37252677620517</c:v>
                </c:pt>
                <c:pt idx="83">
                  <c:v>56.019218078570276</c:v>
                </c:pt>
                <c:pt idx="84">
                  <c:v>55.664564485309654</c:v>
                </c:pt>
                <c:pt idx="85">
                  <c:v>55.308615010409206</c:v>
                </c:pt>
                <c:pt idx="86">
                  <c:v>54.951418922945038</c:v>
                </c:pt>
                <c:pt idx="87">
                  <c:v>54.593025682161496</c:v>
                </c:pt>
                <c:pt idx="88">
                  <c:v>54.233484877796329</c:v>
                </c:pt>
                <c:pt idx="89">
                  <c:v>53.872846175710862</c:v>
                </c:pt>
                <c:pt idx="90">
                  <c:v>53.511159268837396</c:v>
                </c:pt>
                <c:pt idx="91">
                  <c:v>53.148473833421825</c:v>
                </c:pt>
                <c:pt idx="92">
                  <c:v>52.78483949049857</c:v>
                </c:pt>
                <c:pt idx="93">
                  <c:v>52.420305772506559</c:v>
                </c:pt>
                <c:pt idx="94">
                  <c:v>52.054922094923135</c:v>
                </c:pt>
                <c:pt idx="95">
                  <c:v>51.688737732766945</c:v>
                </c:pt>
                <c:pt idx="96">
                  <c:v>51.321801801797648</c:v>
                </c:pt>
                <c:pt idx="97">
                  <c:v>50.954163244220815</c:v>
                </c:pt>
                <c:pt idx="98">
                  <c:v>50.585870818684917</c:v>
                </c:pt>
                <c:pt idx="99">
                  <c:v>50.216973094348639</c:v>
                </c:pt>
                <c:pt idx="100">
                  <c:v>49.847518448776881</c:v>
                </c:pt>
                <c:pt idx="101">
                  <c:v>49.477555069416603</c:v>
                </c:pt>
                <c:pt idx="102">
                  <c:v>49.107130958395466</c:v>
                </c:pt>
                <c:pt idx="103">
                  <c:v>48.736293940376385</c:v>
                </c:pt>
                <c:pt idx="104">
                  <c:v>48.36509167319663</c:v>
                </c:pt>
                <c:pt idx="105">
                  <c:v>47.993571661015643</c:v>
                </c:pt>
                <c:pt idx="106">
                  <c:v>47.621781269691866</c:v>
                </c:pt>
                <c:pt idx="107">
                  <c:v>47.249767744106336</c:v>
                </c:pt>
                <c:pt idx="108">
                  <c:v>46.877578227148852</c:v>
                </c:pt>
                <c:pt idx="109">
                  <c:v>46.50525978008055</c:v>
                </c:pt>
                <c:pt idx="110">
                  <c:v>46.132859403986757</c:v>
                </c:pt>
                <c:pt idx="111">
                  <c:v>45.760424062032861</c:v>
                </c:pt>
                <c:pt idx="112">
                  <c:v>45.388000702235196</c:v>
                </c:pt>
                <c:pt idx="113">
                  <c:v>45.015636280459645</c:v>
                </c:pt>
                <c:pt idx="114">
                  <c:v>44.64337778335868</c:v>
                </c:pt>
                <c:pt idx="115">
                  <c:v>44.271272250961303</c:v>
                </c:pt>
                <c:pt idx="116">
                  <c:v>43.899366798625167</c:v>
                </c:pt>
                <c:pt idx="117">
                  <c:v>43.527708638065697</c:v>
                </c:pt>
                <c:pt idx="118">
                  <c:v>43.156345097174977</c:v>
                </c:pt>
                <c:pt idx="119">
                  <c:v>42.785323638342277</c:v>
                </c:pt>
                <c:pt idx="120">
                  <c:v>42.414691874994475</c:v>
                </c:pt>
                <c:pt idx="121">
                  <c:v>42.044497586070655</c:v>
                </c:pt>
                <c:pt idx="122">
                  <c:v>41.674788728150574</c:v>
                </c:pt>
                <c:pt idx="123">
                  <c:v>41.305613444959178</c:v>
                </c:pt>
                <c:pt idx="124">
                  <c:v>40.937020073973642</c:v>
                </c:pt>
                <c:pt idx="125">
                  <c:v>40.569057149863468</c:v>
                </c:pt>
                <c:pt idx="126">
                  <c:v>40.201773404501246</c:v>
                </c:pt>
                <c:pt idx="127">
                  <c:v>39.835217763291297</c:v>
                </c:pt>
                <c:pt idx="128">
                  <c:v>39.46943933757079</c:v>
                </c:pt>
                <c:pt idx="129">
                  <c:v>39.10448741284975</c:v>
                </c:pt>
                <c:pt idx="130">
                  <c:v>38.74041143267403</c:v>
                </c:pt>
                <c:pt idx="131">
                  <c:v>38.377260977906602</c:v>
                </c:pt>
                <c:pt idx="132">
                  <c:v>38.015085741245613</c:v>
                </c:pt>
                <c:pt idx="133">
                  <c:v>37.653935496816551</c:v>
                </c:pt>
                <c:pt idx="134">
                  <c:v>37.293860064703267</c:v>
                </c:pt>
                <c:pt idx="135">
                  <c:v>36.934909270308317</c:v>
                </c:pt>
                <c:pt idx="136">
                  <c:v>36.577132898464029</c:v>
                </c:pt>
                <c:pt idx="137">
                  <c:v>36.220580642252081</c:v>
                </c:pt>
                <c:pt idx="138">
                  <c:v>35.865302046524292</c:v>
                </c:pt>
                <c:pt idx="139">
                  <c:v>35.511346446158022</c:v>
                </c:pt>
                <c:pt idx="140">
                  <c:v>35.158762899124717</c:v>
                </c:pt>
                <c:pt idx="141">
                  <c:v>34.807600114494136</c:v>
                </c:pt>
                <c:pt idx="142">
                  <c:v>34.457906375546365</c:v>
                </c:pt>
                <c:pt idx="143">
                  <c:v>34.109729458215348</c:v>
                </c:pt>
                <c:pt idx="144">
                  <c:v>33.763116545137571</c:v>
                </c:pt>
                <c:pt idx="145">
                  <c:v>33.418114135635477</c:v>
                </c:pt>
                <c:pt idx="146">
                  <c:v>33.07476795201832</c:v>
                </c:pt>
                <c:pt idx="147">
                  <c:v>32.73312284263654</c:v>
                </c:pt>
                <c:pt idx="148">
                  <c:v>32.393222682179868</c:v>
                </c:pt>
                <c:pt idx="149">
                  <c:v>32.055110269759382</c:v>
                </c:pt>
                <c:pt idx="150">
                  <c:v>31.718827225363828</c:v>
                </c:pt>
                <c:pt idx="151">
                  <c:v>31.384413885324676</c:v>
                </c:pt>
                <c:pt idx="152">
                  <c:v>31.051909197466333</c:v>
                </c:pt>
                <c:pt idx="153">
                  <c:v>30.721350616652661</c:v>
                </c:pt>
                <c:pt idx="154">
                  <c:v>30.39277400147181</c:v>
                </c:pt>
                <c:pt idx="155">
                  <c:v>30.066213512822753</c:v>
                </c:pt>
                <c:pt idx="156">
                  <c:v>29.741701515183514</c:v>
                </c:pt>
                <c:pt idx="157">
                  <c:v>29.419268481345547</c:v>
                </c:pt>
                <c:pt idx="158">
                  <c:v>29.098942901399617</c:v>
                </c:pt>
                <c:pt idx="159">
                  <c:v>28.780751196744593</c:v>
                </c:pt>
                <c:pt idx="160">
                  <c:v>28.464717639868976</c:v>
                </c:pt>
                <c:pt idx="161">
                  <c:v>28.150864280629296</c:v>
                </c:pt>
                <c:pt idx="162">
                  <c:v>27.839210879701724</c:v>
                </c:pt>
                <c:pt idx="163">
                  <c:v>27.529774849840308</c:v>
                </c:pt>
                <c:pt idx="164">
                  <c:v>27.222571205514626</c:v>
                </c:pt>
                <c:pt idx="165">
                  <c:v>26.91761252143186</c:v>
                </c:pt>
                <c:pt idx="166">
                  <c:v>26.614908900377728</c:v>
                </c:pt>
                <c:pt idx="167">
                  <c:v>26.314467950728002</c:v>
                </c:pt>
                <c:pt idx="168">
                  <c:v>26.016294773898974</c:v>
                </c:pt>
                <c:pt idx="169">
                  <c:v>25.720391961914761</c:v>
                </c:pt>
                <c:pt idx="170">
                  <c:v>25.426759605179758</c:v>
                </c:pt>
                <c:pt idx="171">
                  <c:v>25.135395310448896</c:v>
                </c:pt>
                <c:pt idx="172">
                  <c:v>24.846294228898003</c:v>
                </c:pt>
                <c:pt idx="173">
                  <c:v>24.559449094105588</c:v>
                </c:pt>
                <c:pt idx="174">
                  <c:v>24.274850269666658</c:v>
                </c:pt>
                <c:pt idx="175">
                  <c:v>23.99248580607988</c:v>
                </c:pt>
                <c:pt idx="176">
                  <c:v>23.712341506468483</c:v>
                </c:pt>
                <c:pt idx="177">
                  <c:v>23.434401000624554</c:v>
                </c:pt>
                <c:pt idx="178">
                  <c:v>23.158645826802811</c:v>
                </c:pt>
                <c:pt idx="179">
                  <c:v>22.885055520635706</c:v>
                </c:pt>
                <c:pt idx="180">
                  <c:v>22.613607710493607</c:v>
                </c:pt>
                <c:pt idx="181">
                  <c:v>22.344278218577223</c:v>
                </c:pt>
                <c:pt idx="182">
                  <c:v>22.077041167002911</c:v>
                </c:pt>
                <c:pt idx="183">
                  <c:v>21.811869088122524</c:v>
                </c:pt>
                <c:pt idx="184">
                  <c:v>21.548733038311852</c:v>
                </c:pt>
                <c:pt idx="185">
                  <c:v>21.287602714461187</c:v>
                </c:pt>
                <c:pt idx="186">
                  <c:v>21.028446572413365</c:v>
                </c:pt>
                <c:pt idx="187">
                  <c:v>20.771231946608253</c:v>
                </c:pt>
                <c:pt idx="188">
                  <c:v>20.515925170221522</c:v>
                </c:pt>
                <c:pt idx="189">
                  <c:v>20.2624916951148</c:v>
                </c:pt>
                <c:pt idx="190">
                  <c:v>20.010896210950861</c:v>
                </c:pt>
                <c:pt idx="191">
                  <c:v>19.76110276287185</c:v>
                </c:pt>
                <c:pt idx="192">
                  <c:v>19.513074867182439</c:v>
                </c:pt>
                <c:pt idx="193">
                  <c:v>19.266775624529416</c:v>
                </c:pt>
                <c:pt idx="194">
                  <c:v>19.022167830121415</c:v>
                </c:pt>
                <c:pt idx="195">
                  <c:v>18.779214080583579</c:v>
                </c:pt>
                <c:pt idx="196">
                  <c:v>18.537876877095179</c:v>
                </c:pt>
                <c:pt idx="197">
                  <c:v>18.298118724512481</c:v>
                </c:pt>
                <c:pt idx="198">
                  <c:v>18.059902226229145</c:v>
                </c:pt>
                <c:pt idx="199">
                  <c:v>17.823190174577491</c:v>
                </c:pt>
                <c:pt idx="200">
                  <c:v>17.587945636622997</c:v>
                </c:pt>
                <c:pt idx="201">
                  <c:v>17.35413203525005</c:v>
                </c:pt>
                <c:pt idx="202">
                  <c:v>17.121713225478842</c:v>
                </c:pt>
                <c:pt idx="203">
                  <c:v>16.890653565996473</c:v>
                </c:pt>
                <c:pt idx="204">
                  <c:v>16.660917985918331</c:v>
                </c:pt>
                <c:pt idx="205">
                  <c:v>16.432472046832977</c:v>
                </c:pt>
                <c:pt idx="206">
                  <c:v>16.205282000210566</c:v>
                </c:pt>
                <c:pt idx="207">
                  <c:v>15.979314840284392</c:v>
                </c:pt>
                <c:pt idx="208">
                  <c:v>15.75453835253618</c:v>
                </c:pt>
                <c:pt idx="209">
                  <c:v>15.530921157935262</c:v>
                </c:pt>
                <c:pt idx="210">
                  <c:v>15.308432753101336</c:v>
                </c:pt>
                <c:pt idx="211">
                  <c:v>15.087043546568646</c:v>
                </c:pt>
                <c:pt idx="212">
                  <c:v>14.866724891347049</c:v>
                </c:pt>
                <c:pt idx="213">
                  <c:v>14.647449113975137</c:v>
                </c:pt>
                <c:pt idx="214">
                  <c:v>14.429189540272809</c:v>
                </c:pt>
                <c:pt idx="215">
                  <c:v>14.211920517999877</c:v>
                </c:pt>
                <c:pt idx="216">
                  <c:v>13.99561743662742</c:v>
                </c:pt>
                <c:pt idx="217">
                  <c:v>13.780256744431389</c:v>
                </c:pt>
                <c:pt idx="218">
                  <c:v>13.565815963110211</c:v>
                </c:pt>
                <c:pt idx="219">
                  <c:v>13.352273700127011</c:v>
                </c:pt>
                <c:pt idx="220">
                  <c:v>13.139609658970436</c:v>
                </c:pt>
                <c:pt idx="221">
                  <c:v>12.927804647519832</c:v>
                </c:pt>
                <c:pt idx="222">
                  <c:v>12.716840584694534</c:v>
                </c:pt>
                <c:pt idx="223">
                  <c:v>12.506700505556891</c:v>
                </c:pt>
                <c:pt idx="224">
                  <c:v>12.297368565028339</c:v>
                </c:pt>
                <c:pt idx="225">
                  <c:v>12.088830040370265</c:v>
                </c:pt>
                <c:pt idx="226">
                  <c:v>11.881071332566847</c:v>
                </c:pt>
                <c:pt idx="227">
                  <c:v>11.674079966739432</c:v>
                </c:pt>
                <c:pt idx="228">
                  <c:v>11.4678445917083</c:v>
                </c:pt>
                <c:pt idx="229">
                  <c:v>11.262354978806414</c:v>
                </c:pt>
                <c:pt idx="230">
                  <c:v>11.057602020038356</c:v>
                </c:pt>
                <c:pt idx="231">
                  <c:v>10.853577725664591</c:v>
                </c:pt>
                <c:pt idx="232">
                  <c:v>10.650275221280037</c:v>
                </c:pt>
                <c:pt idx="233">
                  <c:v>10.447688744442285</c:v>
                </c:pt>
                <c:pt idx="234">
                  <c:v>10.245813640893914</c:v>
                </c:pt>
                <c:pt idx="235">
                  <c:v>10.044646360410292</c:v>
                </c:pt>
                <c:pt idx="236">
                  <c:v>9.8441844522910706</c:v>
                </c:pt>
                <c:pt idx="237">
                  <c:v>9.644426560503172</c:v>
                </c:pt>
                <c:pt idx="238">
                  <c:v>9.4453724184692298</c:v>
                </c:pt>
                <c:pt idx="239">
                  <c:v>9.2470228434838635</c:v>
                </c:pt>
                <c:pt idx="240">
                  <c:v>9.0493797307268924</c:v>
                </c:pt>
                <c:pt idx="241">
                  <c:v>8.8524460468327693</c:v>
                </c:pt>
                <c:pt idx="242">
                  <c:v>8.6562258229613374</c:v>
                </c:pt>
                <c:pt idx="243">
                  <c:v>8.4607241473035781</c:v>
                </c:pt>
                <c:pt idx="244">
                  <c:v>8.2659471569453267</c:v>
                </c:pt>
                <c:pt idx="245">
                  <c:v>8.0719020289989878</c:v>
                </c:pt>
                <c:pt idx="246">
                  <c:v>7.8785969709034243</c:v>
                </c:pt>
                <c:pt idx="247">
                  <c:v>7.6860412097789883</c:v>
                </c:pt>
                <c:pt idx="248">
                  <c:v>7.4942449807167408</c:v>
                </c:pt>
                <c:pt idx="249">
                  <c:v>7.3032195138680684</c:v>
                </c:pt>
                <c:pt idx="250">
                  <c:v>7.1129770201933198</c:v>
                </c:pt>
                <c:pt idx="251">
                  <c:v>6.9235306757160071</c:v>
                </c:pt>
                <c:pt idx="252">
                  <c:v>6.7348946041249045</c:v>
                </c:pt>
                <c:pt idx="253">
                  <c:v>6.5470838575535435</c:v>
                </c:pt>
                <c:pt idx="254">
                  <c:v>6.360114395364473</c:v>
                </c:pt>
                <c:pt idx="255">
                  <c:v>6.1740030607573315</c:v>
                </c:pt>
                <c:pt idx="256">
                  <c:v>5.9887675550162172</c:v>
                </c:pt>
                <c:pt idx="257">
                  <c:v>5.8044264092093689</c:v>
                </c:pt>
                <c:pt idx="258">
                  <c:v>5.6209989531521822</c:v>
                </c:pt>
                <c:pt idx="259">
                  <c:v>5.4385052814457735</c:v>
                </c:pt>
                <c:pt idx="260">
                  <c:v>5.2569662164055897</c:v>
                </c:pt>
                <c:pt idx="261">
                  <c:v>5.0764032677001536</c:v>
                </c:pt>
                <c:pt idx="262">
                  <c:v>4.8968385885260455</c:v>
                </c:pt>
                <c:pt idx="263">
                  <c:v>4.7182949281562694</c:v>
                </c:pt>
                <c:pt idx="264">
                  <c:v>4.5407955807126195</c:v>
                </c:pt>
                <c:pt idx="265">
                  <c:v>4.3643643300275796</c:v>
                </c:pt>
                <c:pt idx="266">
                  <c:v>4.1890253904791557</c:v>
                </c:pt>
                <c:pt idx="267">
                  <c:v>4.0148033437103168</c:v>
                </c:pt>
                <c:pt idx="268">
                  <c:v>3.8417230711634334</c:v>
                </c:pt>
                <c:pt idx="269">
                  <c:v>3.6698096823966955</c:v>
                </c:pt>
                <c:pt idx="270">
                  <c:v>3.4990884391773043</c:v>
                </c:pt>
                <c:pt idx="271">
                  <c:v>3.3295846753910241</c:v>
                </c:pt>
                <c:pt idx="272">
                  <c:v>3.1613237128394509</c:v>
                </c:pt>
                <c:pt idx="273">
                  <c:v>2.9943307730496995</c:v>
                </c:pt>
                <c:pt idx="274">
                  <c:v>2.8286308852638475</c:v>
                </c:pt>
                <c:pt idx="275">
                  <c:v>2.6642487908283292</c:v>
                </c:pt>
                <c:pt idx="276">
                  <c:v>2.5012088442584721</c:v>
                </c:pt>
                <c:pt idx="277">
                  <c:v>2.3395349113064774</c:v>
                </c:pt>
                <c:pt idx="278">
                  <c:v>2.1792502644242226</c:v>
                </c:pt>
                <c:pt idx="279">
                  <c:v>2.0203774760656543</c:v>
                </c:pt>
                <c:pt idx="280">
                  <c:v>1.8629383103390671</c:v>
                </c:pt>
                <c:pt idx="281">
                  <c:v>1.7069536135753078</c:v>
                </c:pt>
                <c:pt idx="282">
                  <c:v>1.5524432044368304</c:v>
                </c:pt>
                <c:pt idx="283">
                  <c:v>1.3994257642526184</c:v>
                </c:pt>
                <c:pt idx="284">
                  <c:v>1.247918728311344</c:v>
                </c:pt>
                <c:pt idx="285">
                  <c:v>1.0979381788992593</c:v>
                </c:pt>
                <c:pt idx="286">
                  <c:v>0.94949874091356068</c:v>
                </c:pt>
                <c:pt idx="287">
                  <c:v>0.80261348091472096</c:v>
                </c:pt>
                <c:pt idx="288">
                  <c:v>0.65729381051970681</c:v>
                </c:pt>
                <c:pt idx="289">
                  <c:v>0.51354939505510888</c:v>
                </c:pt>
                <c:pt idx="290">
                  <c:v>0.37138806840399546</c:v>
                </c:pt>
                <c:pt idx="291">
                  <c:v>0.23081575498696305</c:v>
                </c:pt>
                <c:pt idx="292">
                  <c:v>9.1836399803930241E-2</c:v>
                </c:pt>
                <c:pt idx="293">
                  <c:v>-4.5548092546455199E-2</c:v>
                </c:pt>
                <c:pt idx="294">
                  <c:v>-0.18133790899305441</c:v>
                </c:pt>
                <c:pt idx="295">
                  <c:v>-0.31553536842078406</c:v>
                </c:pt>
                <c:pt idx="296">
                  <c:v>-0.44814495062000503</c:v>
                </c:pt>
                <c:pt idx="297">
                  <c:v>-0.57917331303807218</c:v>
                </c:pt>
                <c:pt idx="298">
                  <c:v>-0.70862929469438607</c:v>
                </c:pt>
                <c:pt idx="299">
                  <c:v>-0.83652390671043908</c:v>
                </c:pt>
                <c:pt idx="300">
                  <c:v>-0.96287030900611292</c:v>
                </c:pt>
                <c:pt idx="301">
                  <c:v>-1.0876837728259519</c:v>
                </c:pt>
                <c:pt idx="302">
                  <c:v>-1.2109816288747417</c:v>
                </c:pt>
                <c:pt idx="303">
                  <c:v>-1.3327832009719729</c:v>
                </c:pt>
                <c:pt idx="304">
                  <c:v>-1.4531097252636846</c:v>
                </c:pt>
                <c:pt idx="305">
                  <c:v>-1.571984255170777</c:v>
                </c:pt>
                <c:pt idx="306">
                  <c:v>-1.6894315523897598</c:v>
                </c:pt>
                <c:pt idx="307">
                  <c:v>-1.8054779644039998</c:v>
                </c:pt>
                <c:pt idx="308">
                  <c:v>-1.9201512891058412</c:v>
                </c:pt>
                <c:pt idx="309">
                  <c:v>-2.0334806272667789</c:v>
                </c:pt>
                <c:pt idx="310">
                  <c:v>-2.1454962237268065</c:v>
                </c:pt>
                <c:pt idx="311">
                  <c:v>-2.2562292983067302</c:v>
                </c:pt>
                <c:pt idx="312">
                  <c:v>-2.36571186756461</c:v>
                </c:pt>
                <c:pt idx="313">
                  <c:v>-2.4739765586346723</c:v>
                </c:pt>
                <c:pt idx="314">
                  <c:v>-2.5810564164872476</c:v>
                </c:pt>
                <c:pt idx="315">
                  <c:v>-2.6869847060414038</c:v>
                </c:pt>
                <c:pt idx="316">
                  <c:v>-2.7917947106398477</c:v>
                </c:pt>
                <c:pt idx="317">
                  <c:v>-2.8955195284620272</c:v>
                </c:pt>
                <c:pt idx="318">
                  <c:v>-2.9981918684995197</c:v>
                </c:pt>
                <c:pt idx="319">
                  <c:v>-3.0998438477543759</c:v>
                </c:pt>
                <c:pt idx="320">
                  <c:v>-3.2005067913393108</c:v>
                </c:pt>
                <c:pt idx="321">
                  <c:v>-3.3002110371593982</c:v>
                </c:pt>
                <c:pt idx="322">
                  <c:v>-3.3989857468419844</c:v>
                </c:pt>
                <c:pt idx="323">
                  <c:v>-3.4968587245470051</c:v>
                </c:pt>
                <c:pt idx="324">
                  <c:v>-3.5938562452430487</c:v>
                </c:pt>
                <c:pt idx="325">
                  <c:v>-3.6900028939671592</c:v>
                </c:pt>
                <c:pt idx="326">
                  <c:v>-3.7853214175040453</c:v>
                </c:pt>
                <c:pt idx="327">
                  <c:v>-3.8798325898228643</c:v>
                </c:pt>
                <c:pt idx="328">
                  <c:v>-3.9735550924957428</c:v>
                </c:pt>
                <c:pt idx="329">
                  <c:v>-4.0665054111940986</c:v>
                </c:pt>
                <c:pt idx="330">
                  <c:v>-4.1586977492212158</c:v>
                </c:pt>
                <c:pt idx="331">
                  <c:v>-4.2501439588838092</c:v>
                </c:pt>
                <c:pt idx="332">
                  <c:v>-4.3408534913456389</c:v>
                </c:pt>
                <c:pt idx="333">
                  <c:v>-4.4308333654355216</c:v>
                </c:pt>
                <c:pt idx="334">
                  <c:v>-4.5200881557048502</c:v>
                </c:pt>
                <c:pt idx="335">
                  <c:v>-4.6086199998479414</c:v>
                </c:pt>
                <c:pt idx="336">
                  <c:v>-4.6964286254135832</c:v>
                </c:pt>
                <c:pt idx="337">
                  <c:v>-4.7835113955556272</c:v>
                </c:pt>
                <c:pt idx="338">
                  <c:v>-4.8698633733822057</c:v>
                </c:pt>
                <c:pt idx="339">
                  <c:v>-4.9554774042899172</c:v>
                </c:pt>
                <c:pt idx="340">
                  <c:v>-5.0403442154949696</c:v>
                </c:pt>
                <c:pt idx="341">
                  <c:v>-5.1244525318100829</c:v>
                </c:pt>
                <c:pt idx="342">
                  <c:v>-5.2077892065643194</c:v>
                </c:pt>
                <c:pt idx="343">
                  <c:v>-5.290339366422721</c:v>
                </c:pt>
                <c:pt idx="344">
                  <c:v>-5.3720865687364983</c:v>
                </c:pt>
                <c:pt idx="345">
                  <c:v>-5.4530129699457683</c:v>
                </c:pt>
                <c:pt idx="346">
                  <c:v>-5.5330995034671426</c:v>
                </c:pt>
                <c:pt idx="347">
                  <c:v>-5.6123260654210139</c:v>
                </c:pt>
                <c:pt idx="348">
                  <c:v>-5.6906717065044807</c:v>
                </c:pt>
                <c:pt idx="349">
                  <c:v>-5.7681148282803152</c:v>
                </c:pt>
                <c:pt idx="350">
                  <c:v>-5.8446333821403629</c:v>
                </c:pt>
                <c:pt idx="351">
                  <c:v>-5.92020506920956</c:v>
                </c:pt>
                <c:pt idx="352">
                  <c:v>-5.9948075394844231</c:v>
                </c:pt>
                <c:pt idx="353">
                  <c:v>-6.0684185885485604</c:v>
                </c:pt>
                <c:pt idx="354">
                  <c:v>-6.1410163502714576</c:v>
                </c:pt>
                <c:pt idx="355">
                  <c:v>-6.212579483983335</c:v>
                </c:pt>
                <c:pt idx="356">
                  <c:v>-6.2830873547154251</c:v>
                </c:pt>
                <c:pt idx="357">
                  <c:v>-6.3525202052113583</c:v>
                </c:pt>
                <c:pt idx="358">
                  <c:v>-6.4208593185375706</c:v>
                </c:pt>
                <c:pt idx="359">
                  <c:v>-6.488087170262431</c:v>
                </c:pt>
                <c:pt idx="360">
                  <c:v>-6.5541875693114413</c:v>
                </c:pt>
                <c:pt idx="361">
                  <c:v>-6.6191457867626156</c:v>
                </c:pt>
                <c:pt idx="362">
                  <c:v>-6.6829486719952556</c:v>
                </c:pt>
                <c:pt idx="363">
                  <c:v>-6.7455847557635806</c:v>
                </c:pt>
                <c:pt idx="364">
                  <c:v>-6.8070443399185097</c:v>
                </c:pt>
                <c:pt idx="365">
                  <c:v>-6.8673195736555979</c:v>
                </c:pt>
                <c:pt idx="366">
                  <c:v>-6.9264045163100381</c:v>
                </c:pt>
                <c:pt idx="367">
                  <c:v>-6.9842951868620284</c:v>
                </c:pt>
                <c:pt idx="368">
                  <c:v>-7.0409896004451138</c:v>
                </c:pt>
                <c:pt idx="369">
                  <c:v>-7.0964877922727574</c:v>
                </c:pt>
                <c:pt idx="370">
                  <c:v>-7.1507918295091919</c:v>
                </c:pt>
                <c:pt idx="371">
                  <c:v>-7.2039058117054875</c:v>
                </c:pt>
                <c:pt idx="372">
                  <c:v>-7.2558358605135513</c:v>
                </c:pt>
                <c:pt idx="373">
                  <c:v>-7.3065900994576278</c:v>
                </c:pt>
                <c:pt idx="374">
                  <c:v>-7.3561786246056897</c:v>
                </c:pt>
                <c:pt idx="375">
                  <c:v>-7.4046134670291579</c:v>
                </c:pt>
                <c:pt idx="376">
                  <c:v>-7.45190854797145</c:v>
                </c:pt>
                <c:pt idx="377">
                  <c:v>-7.49807962766684</c:v>
                </c:pt>
                <c:pt idx="378">
                  <c:v>-7.5431442487646034</c:v>
                </c:pt>
                <c:pt idx="379">
                  <c:v>-7.5871216753033135</c:v>
                </c:pt>
                <c:pt idx="380">
                  <c:v>-7.630032828177006</c:v>
                </c:pt>
                <c:pt idx="381">
                  <c:v>-7.6719002180090943</c:v>
                </c:pt>
                <c:pt idx="382">
                  <c:v>-7.7127478763223758</c:v>
                </c:pt>
                <c:pt idx="383">
                  <c:v>-7.7526012858583826</c:v>
                </c:pt>
                <c:pt idx="384">
                  <c:v>-7.79148731085699</c:v>
                </c:pt>
                <c:pt idx="385">
                  <c:v>-7.8294341280634496</c:v>
                </c:pt>
                <c:pt idx="386">
                  <c:v>-7.8664711591774639</c:v>
                </c:pt>
                <c:pt idx="387">
                  <c:v>-7.9026290054118631</c:v>
                </c:pt>
                <c:pt idx="388">
                  <c:v>-7.9379393847692814</c:v>
                </c:pt>
                <c:pt idx="389">
                  <c:v>-7.9724350725979711</c:v>
                </c:pt>
                <c:pt idx="390">
                  <c:v>-8.0061498459296097</c:v>
                </c:pt>
                <c:pt idx="391">
                  <c:v>-8.0391184320519891</c:v>
                </c:pt>
                <c:pt idx="392">
                  <c:v>-8.0713764617176729</c:v>
                </c:pt>
                <c:pt idx="393">
                  <c:v>-8.1029604273429854</c:v>
                </c:pt>
                <c:pt idx="394">
                  <c:v>-8.1339076465022089</c:v>
                </c:pt>
                <c:pt idx="395">
                  <c:v>-8.1642562309815201</c:v>
                </c:pt>
                <c:pt idx="396">
                  <c:v>-8.1940450616175813</c:v>
                </c:pt>
                <c:pt idx="397">
                  <c:v>-8.2233137691056939</c:v>
                </c:pt>
                <c:pt idx="398">
                  <c:v>-8.2521027209326245</c:v>
                </c:pt>
                <c:pt idx="399">
                  <c:v>-8.2804530145577893</c:v>
                </c:pt>
                <c:pt idx="400">
                  <c:v>-8.3084064769384334</c:v>
                </c:pt>
                <c:pt idx="401">
                  <c:v>-8.3360056704732202</c:v>
                </c:pt>
                <c:pt idx="402">
                  <c:v>-8.3632939054152882</c:v>
                </c:pt>
                <c:pt idx="403">
                  <c:v>-8.3903152587907144</c:v>
                </c:pt>
                <c:pt idx="404">
                  <c:v>-8.4171145998385413</c:v>
                </c:pt>
                <c:pt idx="405">
                  <c:v>-8.4437376219772435</c:v>
                </c:pt>
                <c:pt idx="406">
                  <c:v>-8.4702308812910019</c:v>
                </c:pt>
                <c:pt idx="407">
                  <c:v>-8.4966418415121208</c:v>
                </c:pt>
                <c:pt idx="408">
                  <c:v>-8.5230189254742488</c:v>
                </c:pt>
                <c:pt idx="409">
                  <c:v>-8.5494115729894062</c:v>
                </c:pt>
                <c:pt idx="410">
                  <c:v>-8.5758703051000555</c:v>
                </c:pt>
                <c:pt idx="411">
                  <c:v>-8.6024467946395884</c:v>
                </c:pt>
                <c:pt idx="412">
                  <c:v>-8.6291939430191285</c:v>
                </c:pt>
                <c:pt idx="413">
                  <c:v>-8.6561659631483003</c:v>
                </c:pt>
                <c:pt idx="414">
                  <c:v>-8.683418468368977</c:v>
                </c:pt>
                <c:pt idx="415">
                  <c:v>-8.7110085672632671</c:v>
                </c:pt>
                <c:pt idx="416">
                  <c:v>-8.7389949641656415</c:v>
                </c:pt>
                <c:pt idx="417">
                  <c:v>-8.7674380651729411</c:v>
                </c:pt>
                <c:pt idx="418">
                  <c:v>-8.7964000894087544</c:v>
                </c:pt>
                <c:pt idx="419">
                  <c:v>-8.8259451852449704</c:v>
                </c:pt>
                <c:pt idx="420">
                  <c:v>-8.8561395511299246</c:v>
                </c:pt>
                <c:pt idx="421">
                  <c:v>-8.8870515606025311</c:v>
                </c:pt>
                <c:pt idx="422">
                  <c:v>-8.9187518909992711</c:v>
                </c:pt>
                <c:pt idx="423">
                  <c:v>-8.9513136552642276</c:v>
                </c:pt>
                <c:pt idx="424">
                  <c:v>-8.9848125361816429</c:v>
                </c:pt>
                <c:pt idx="425">
                  <c:v>-9.0193269222269752</c:v>
                </c:pt>
                <c:pt idx="426">
                  <c:v>-9.0549380441103509</c:v>
                </c:pt>
                <c:pt idx="427">
                  <c:v>-9.0917301109428088</c:v>
                </c:pt>
                <c:pt idx="428">
                  <c:v>-9.129790444796658</c:v>
                </c:pt>
                <c:pt idx="429">
                  <c:v>-9.169209612261648</c:v>
                </c:pt>
                <c:pt idx="430">
                  <c:v>-9.210081551413424</c:v>
                </c:pt>
                <c:pt idx="431">
                  <c:v>-9.2525036924079984</c:v>
                </c:pt>
                <c:pt idx="432">
                  <c:v>-9.2965770697085954</c:v>
                </c:pt>
                <c:pt idx="433">
                  <c:v>-9.3424064237261035</c:v>
                </c:pt>
                <c:pt idx="434">
                  <c:v>-9.3901002894284105</c:v>
                </c:pt>
                <c:pt idx="435">
                  <c:v>-9.4397710692410346</c:v>
                </c:pt>
                <c:pt idx="436">
                  <c:v>-9.4915350873312061</c:v>
                </c:pt>
                <c:pt idx="437">
                  <c:v>-9.5455126221453632</c:v>
                </c:pt>
                <c:pt idx="438">
                  <c:v>-9.6018279138620084</c:v>
                </c:pt>
                <c:pt idx="439">
                  <c:v>-9.6606091432361314</c:v>
                </c:pt>
                <c:pt idx="440">
                  <c:v>-9.7219883781616172</c:v>
                </c:pt>
                <c:pt idx="441">
                  <c:v>-9.7861014841678919</c:v>
                </c:pt>
                <c:pt idx="442">
                  <c:v>-9.8530879950182015</c:v>
                </c:pt>
                <c:pt idx="443">
                  <c:v>-9.9230909395905744</c:v>
                </c:pt>
                <c:pt idx="444">
                  <c:v>-9.9962566213278414</c:v>
                </c:pt>
                <c:pt idx="445">
                  <c:v>-10.072734346737157</c:v>
                </c:pt>
                <c:pt idx="446">
                  <c:v>-10.152676099729021</c:v>
                </c:pt>
                <c:pt idx="447">
                  <c:v>-10.236236159019063</c:v>
                </c:pt>
                <c:pt idx="448">
                  <c:v>-10.323570656379671</c:v>
                </c:pt>
                <c:pt idx="449">
                  <c:v>-10.414837074237619</c:v>
                </c:pt>
                <c:pt idx="450">
                  <c:v>-10.510193681972551</c:v>
                </c:pt>
                <c:pt idx="451">
                  <c:v>-10.609798911269397</c:v>
                </c:pt>
                <c:pt idx="452">
                  <c:v>-10.713810672022802</c:v>
                </c:pt>
                <c:pt idx="453">
                  <c:v>-10.822385611565332</c:v>
                </c:pt>
                <c:pt idx="454">
                  <c:v>-10.935678321364705</c:v>
                </c:pt>
                <c:pt idx="455">
                  <c:v>-11.053840496800317</c:v>
                </c:pt>
                <c:pt idx="456">
                  <c:v>-11.177020057126608</c:v>
                </c:pt>
                <c:pt idx="457">
                  <c:v>-11.305360234238893</c:v>
                </c:pt>
                <c:pt idx="458">
                  <c:v>-11.43899864030179</c:v>
                </c:pt>
                <c:pt idx="459">
                  <c:v>-11.578066325656826</c:v>
                </c:pt>
                <c:pt idx="460">
                  <c:v>-11.722686839596484</c:v>
                </c:pt>
                <c:pt idx="461">
                  <c:v>-11.872975307557255</c:v>
                </c:pt>
                <c:pt idx="462">
                  <c:v>-12.029037538959027</c:v>
                </c:pt>
                <c:pt idx="463">
                  <c:v>-12.190969180263899</c:v>
                </c:pt>
                <c:pt idx="464">
                  <c:v>-12.358854927797934</c:v>
                </c:pt>
                <c:pt idx="465">
                  <c:v>-12.532767814464682</c:v>
                </c:pt>
                <c:pt idx="466">
                  <c:v>-12.712768583622546</c:v>
                </c:pt>
                <c:pt idx="467">
                  <c:v>-12.898905162162187</c:v>
                </c:pt>
                <c:pt idx="468">
                  <c:v>-13.09121224317694</c:v>
                </c:pt>
                <c:pt idx="469">
                  <c:v>-13.289710986639136</c:v>
                </c:pt>
                <c:pt idx="470">
                  <c:v>-13.494408844231904</c:v>
                </c:pt>
                <c:pt idx="471">
                  <c:v>-13.705299511997616</c:v>
                </c:pt>
                <c:pt idx="472">
                  <c:v>-13.92236301186281</c:v>
                </c:pt>
                <c:pt idx="473">
                  <c:v>-14.145565900448245</c:v>
                </c:pt>
                <c:pt idx="474">
                  <c:v>-14.374861600984071</c:v>
                </c:pt>
                <c:pt idx="475">
                  <c:v>-14.610190851706777</c:v>
                </c:pt>
                <c:pt idx="476">
                  <c:v>-14.851482261901731</c:v>
                </c:pt>
                <c:pt idx="477">
                  <c:v>-15.098652964835221</c:v>
                </c:pt>
                <c:pt idx="478">
                  <c:v>-15.351609355271014</c:v>
                </c:pt>
                <c:pt idx="479">
                  <c:v>-15.610247898087659</c:v>
                </c:pt>
                <c:pt idx="480">
                  <c:v>-15.874455993766812</c:v>
                </c:pt>
                <c:pt idx="481">
                  <c:v>-16.144112886175527</c:v>
                </c:pt>
                <c:pt idx="482">
                  <c:v>-16.419090598121596</c:v>
                </c:pt>
                <c:pt idx="483">
                  <c:v>-16.699254880574927</c:v>
                </c:pt>
                <c:pt idx="484">
                  <c:v>-16.984466162191577</c:v>
                </c:pt>
                <c:pt idx="485">
                  <c:v>-17.274580486780774</c:v>
                </c:pt>
                <c:pt idx="486">
                  <c:v>-17.569450427579049</c:v>
                </c:pt>
                <c:pt idx="487">
                  <c:v>-17.868925968564049</c:v>
                </c:pt>
                <c:pt idx="488">
                  <c:v>-18.172855344509212</c:v>
                </c:pt>
                <c:pt idx="489">
                  <c:v>-18.481085832987453</c:v>
                </c:pt>
                <c:pt idx="490">
                  <c:v>-18.793464493023787</c:v>
                </c:pt>
                <c:pt idx="491">
                  <c:v>-19.109838846546321</c:v>
                </c:pt>
                <c:pt idx="492">
                  <c:v>-19.430057500139991</c:v>
                </c:pt>
                <c:pt idx="493">
                  <c:v>-19.753970705852431</c:v>
                </c:pt>
                <c:pt idx="494">
                  <c:v>-20.081430860918058</c:v>
                </c:pt>
                <c:pt idx="495">
                  <c:v>-20.412292947233198</c:v>
                </c:pt>
                <c:pt idx="496">
                  <c:v>-20.746414912245005</c:v>
                </c:pt>
                <c:pt idx="497">
                  <c:v>-21.08365799358787</c:v>
                </c:pt>
                <c:pt idx="498">
                  <c:v>-21.423886990342687</c:v>
                </c:pt>
                <c:pt idx="499">
                  <c:v>-21.766970484193155</c:v>
                </c:pt>
                <c:pt idx="500">
                  <c:v>-22.112781014041047</c:v>
                </c:pt>
                <c:pt idx="501">
                  <c:v>-22.461195207811041</c:v>
                </c:pt>
                <c:pt idx="502">
                  <c:v>-22.812093875262324</c:v>
                </c:pt>
                <c:pt idx="503">
                  <c:v>-23.165362065616463</c:v>
                </c:pt>
                <c:pt idx="504">
                  <c:v>-23.520889093752256</c:v>
                </c:pt>
                <c:pt idx="505">
                  <c:v>-23.878568538589278</c:v>
                </c:pt>
                <c:pt idx="506">
                  <c:v>-24.238298217127227</c:v>
                </c:pt>
                <c:pt idx="507">
                  <c:v>-24.599980137407677</c:v>
                </c:pt>
                <c:pt idx="508">
                  <c:v>-24.963520433454054</c:v>
                </c:pt>
                <c:pt idx="509">
                  <c:v>-25.328829285015736</c:v>
                </c:pt>
                <c:pt idx="510">
                  <c:v>-25.695820824705411</c:v>
                </c:pt>
                <c:pt idx="511">
                  <c:v>-26.064413034887725</c:v>
                </c:pt>
                <c:pt idx="512">
                  <c:v>-26.434527636436925</c:v>
                </c:pt>
                <c:pt idx="513">
                  <c:v>-26.806089971267852</c:v>
                </c:pt>
                <c:pt idx="514">
                  <c:v>-27.179028880319578</c:v>
                </c:pt>
                <c:pt idx="515">
                  <c:v>-27.553276578475604</c:v>
                </c:pt>
                <c:pt idx="516">
                  <c:v>-27.928768527713647</c:v>
                </c:pt>
                <c:pt idx="517">
                  <c:v>-28.305443309603071</c:v>
                </c:pt>
                <c:pt idx="518">
                  <c:v>-28.683242498108854</c:v>
                </c:pt>
                <c:pt idx="519">
                  <c:v>-29.062110533514819</c:v>
                </c:pt>
                <c:pt idx="520">
                  <c:v>-29.441994598147048</c:v>
                </c:pt>
                <c:pt idx="521">
                  <c:v>-29.822844494461947</c:v>
                </c:pt>
                <c:pt idx="522">
                  <c:v>-30.204612525956978</c:v>
                </c:pt>
                <c:pt idx="523">
                  <c:v>-30.587253381268855</c:v>
                </c:pt>
                <c:pt idx="524">
                  <c:v>-30.970724021745035</c:v>
                </c:pt>
                <c:pt idx="525">
                  <c:v>-31.354983572699105</c:v>
                </c:pt>
                <c:pt idx="526">
                  <c:v>-31.739993218501805</c:v>
                </c:pt>
                <c:pt idx="527">
                  <c:v>-32.125716101606507</c:v>
                </c:pt>
                <c:pt idx="528">
                  <c:v>-32.512117225558328</c:v>
                </c:pt>
                <c:pt idx="529">
                  <c:v>-32.899163362004835</c:v>
                </c:pt>
                <c:pt idx="530">
                  <c:v>-33.286822961685033</c:v>
                </c:pt>
                <c:pt idx="531">
                  <c:v>-33.675066069355267</c:v>
                </c:pt>
                <c:pt idx="532">
                  <c:v>-34.063864242581609</c:v>
                </c:pt>
                <c:pt idx="533">
                  <c:v>-34.453190474316614</c:v>
                </c:pt>
                <c:pt idx="534">
                  <c:v>-34.84301911915778</c:v>
                </c:pt>
                <c:pt idx="535">
                  <c:v>-35.233325823180074</c:v>
                </c:pt>
                <c:pt idx="536">
                  <c:v>-35.624087457223311</c:v>
                </c:pt>
                <c:pt idx="537">
                  <c:v>-36.015282053511022</c:v>
                </c:pt>
                <c:pt idx="538">
                  <c:v>-36.406888745471839</c:v>
                </c:pt>
                <c:pt idx="539">
                  <c:v>-36.79888771063483</c:v>
                </c:pt>
                <c:pt idx="540">
                  <c:v>-37.191260116467483</c:v>
                </c:pt>
                <c:pt idx="541">
                  <c:v>-37.583988069026667</c:v>
                </c:pt>
              </c:numCache>
            </c:numRef>
          </c:yVal>
          <c:smooth val="1"/>
          <c:extLst>
            <c:ext xmlns:c16="http://schemas.microsoft.com/office/drawing/2014/chart" uri="{C3380CC4-5D6E-409C-BE32-E72D297353CC}">
              <c16:uniqueId val="{00000000-7AB1-42AA-8DBD-6D7B5452EF93}"/>
            </c:ext>
          </c:extLst>
        </c:ser>
        <c:dLbls>
          <c:showLegendKey val="0"/>
          <c:showVal val="0"/>
          <c:showCatName val="0"/>
          <c:showSerName val="0"/>
          <c:showPercent val="0"/>
          <c:showBubbleSize val="0"/>
        </c:dLbls>
        <c:axId val="365455232"/>
        <c:axId val="365465600"/>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75.214432754431726</c:v>
                </c:pt>
                <c:pt idx="1">
                  <c:v>74.889779213281273</c:v>
                </c:pt>
                <c:pt idx="2">
                  <c:v>74.558882628995846</c:v>
                </c:pt>
                <c:pt idx="3">
                  <c:v>74.221681394011171</c:v>
                </c:pt>
                <c:pt idx="4">
                  <c:v>73.878117309595453</c:v>
                </c:pt>
                <c:pt idx="5">
                  <c:v>73.528135892414298</c:v>
                </c:pt>
                <c:pt idx="6">
                  <c:v>73.171686693112591</c:v>
                </c:pt>
                <c:pt idx="7">
                  <c:v>72.808723626615063</c:v>
                </c:pt>
                <c:pt idx="8">
                  <c:v>72.439205313735968</c:v>
                </c:pt>
                <c:pt idx="9">
                  <c:v>72.063095433588757</c:v>
                </c:pt>
                <c:pt idx="10">
                  <c:v>71.680363086155978</c:v>
                </c:pt>
                <c:pt idx="11">
                  <c:v>71.290983164261874</c:v>
                </c:pt>
                <c:pt idx="12">
                  <c:v>70.894936734048827</c:v>
                </c:pt>
                <c:pt idx="13">
                  <c:v>70.492211422916398</c:v>
                </c:pt>
                <c:pt idx="14">
                  <c:v>70.082801813732587</c:v>
                </c:pt>
                <c:pt idx="15">
                  <c:v>69.666709843969727</c:v>
                </c:pt>
                <c:pt idx="16">
                  <c:v>69.24394520825652</c:v>
                </c:pt>
                <c:pt idx="17">
                  <c:v>68.814525762669703</c:v>
                </c:pt>
                <c:pt idx="18">
                  <c:v>68.378477928926344</c:v>
                </c:pt>
                <c:pt idx="19">
                  <c:v>67.935837096464041</c:v>
                </c:pt>
                <c:pt idx="20">
                  <c:v>67.486648020233261</c:v>
                </c:pt>
                <c:pt idx="21">
                  <c:v>67.030965211860746</c:v>
                </c:pt>
                <c:pt idx="22">
                  <c:v>66.568853321689843</c:v>
                </c:pt>
                <c:pt idx="23">
                  <c:v>66.100387509047636</c:v>
                </c:pt>
                <c:pt idx="24">
                  <c:v>65.625653797964105</c:v>
                </c:pt>
                <c:pt idx="25">
                  <c:v>65.144749415435371</c:v>
                </c:pt>
                <c:pt idx="26">
                  <c:v>64.657783109230692</c:v>
                </c:pt>
                <c:pt idx="27">
                  <c:v>64.164875442149821</c:v>
                </c:pt>
                <c:pt idx="28">
                  <c:v>63.666159059592523</c:v>
                </c:pt>
                <c:pt idx="29">
                  <c:v>63.161778927261658</c:v>
                </c:pt>
                <c:pt idx="30">
                  <c:v>62.65189253583042</c:v>
                </c:pt>
                <c:pt idx="31">
                  <c:v>62.136670069438118</c:v>
                </c:pt>
                <c:pt idx="32">
                  <c:v>61.616294534954385</c:v>
                </c:pt>
                <c:pt idx="33">
                  <c:v>61.09096184905691</c:v>
                </c:pt>
                <c:pt idx="34">
                  <c:v>60.560880880334359</c:v>
                </c:pt>
                <c:pt idx="35">
                  <c:v>60.026273443808506</c:v>
                </c:pt>
                <c:pt idx="36">
                  <c:v>59.48737424552025</c:v>
                </c:pt>
                <c:pt idx="37">
                  <c:v>58.944430775099711</c:v>
                </c:pt>
                <c:pt idx="38">
                  <c:v>58.397703144569853</c:v>
                </c:pt>
                <c:pt idx="39">
                  <c:v>57.847463871999267</c:v>
                </c:pt>
                <c:pt idx="40">
                  <c:v>57.293997609020863</c:v>
                </c:pt>
                <c:pt idx="41">
                  <c:v>56.737600811677076</c:v>
                </c:pt>
                <c:pt idx="42">
                  <c:v>56.178581354519082</c:v>
                </c:pt>
                <c:pt idx="43">
                  <c:v>55.617258088385647</c:v>
                </c:pt>
                <c:pt idx="44">
                  <c:v>55.053960342795996</c:v>
                </c:pt>
                <c:pt idx="45">
                  <c:v>54.489027374429661</c:v>
                </c:pt>
                <c:pt idx="46">
                  <c:v>53.922807763682428</c:v>
                </c:pt>
                <c:pt idx="47">
                  <c:v>53.355658761835208</c:v>
                </c:pt>
                <c:pt idx="48">
                  <c:v>52.787945591873303</c:v>
                </c:pt>
                <c:pt idx="49">
                  <c:v>52.220040706507291</c:v>
                </c:pt>
                <c:pt idx="50">
                  <c:v>51.65232300740913</c:v>
                </c:pt>
                <c:pt idx="51">
                  <c:v>51.085177030112</c:v>
                </c:pt>
                <c:pt idx="52">
                  <c:v>50.518992099422803</c:v>
                </c:pt>
                <c:pt idx="53">
                  <c:v>49.954161460521419</c:v>
                </c:pt>
                <c:pt idx="54">
                  <c:v>49.391081391218584</c:v>
                </c:pt>
                <c:pt idx="55">
                  <c:v>48.830150301055866</c:v>
                </c:pt>
                <c:pt idx="56">
                  <c:v>48.271767823087956</c:v>
                </c:pt>
                <c:pt idx="57">
                  <c:v>47.716333904266151</c:v>
                </c:pt>
                <c:pt idx="58">
                  <c:v>47.164247900369354</c:v>
                </c:pt>
                <c:pt idx="59">
                  <c:v>46.615907681341959</c:v>
                </c:pt>
                <c:pt idx="60">
                  <c:v>46.071708752800596</c:v>
                </c:pt>
                <c:pt idx="61">
                  <c:v>45.532043399245495</c:v>
                </c:pt>
                <c:pt idx="62">
                  <c:v>44.997299854264142</c:v>
                </c:pt>
                <c:pt idx="63">
                  <c:v>44.467861502687164</c:v>
                </c:pt>
                <c:pt idx="64">
                  <c:v>43.94410611928155</c:v>
                </c:pt>
                <c:pt idx="65">
                  <c:v>43.426405148141278</c:v>
                </c:pt>
                <c:pt idx="66">
                  <c:v>42.915123026467043</c:v>
                </c:pt>
                <c:pt idx="67">
                  <c:v>42.410616555945495</c:v>
                </c:pt>
                <c:pt idx="68">
                  <c:v>41.913234324407412</c:v>
                </c:pt>
                <c:pt idx="69">
                  <c:v>41.423316179914202</c:v>
                </c:pt>
                <c:pt idx="70">
                  <c:v>40.941192758887283</c:v>
                </c:pt>
                <c:pt idx="71">
                  <c:v>40.467185069355644</c:v>
                </c:pt>
                <c:pt idx="72">
                  <c:v>40.001604129865498</c:v>
                </c:pt>
                <c:pt idx="73">
                  <c:v>39.544750664084411</c:v>
                </c:pt>
                <c:pt idx="74">
                  <c:v>39.096914850648304</c:v>
                </c:pt>
                <c:pt idx="75">
                  <c:v>38.65837612732934</c:v>
                </c:pt>
                <c:pt idx="76">
                  <c:v>38.229403048185198</c:v>
                </c:pt>
                <c:pt idx="77">
                  <c:v>37.810253191944007</c:v>
                </c:pt>
                <c:pt idx="78">
                  <c:v>37.401173119545454</c:v>
                </c:pt>
                <c:pt idx="79">
                  <c:v>37.002398378429653</c:v>
                </c:pt>
                <c:pt idx="80">
                  <c:v>36.614153550913457</c:v>
                </c:pt>
                <c:pt idx="81">
                  <c:v>36.236652343754926</c:v>
                </c:pt>
                <c:pt idx="82">
                  <c:v>35.870097715838561</c:v>
                </c:pt>
                <c:pt idx="83">
                  <c:v>35.514682040762004</c:v>
                </c:pt>
                <c:pt idx="84">
                  <c:v>35.170587301011246</c:v>
                </c:pt>
                <c:pt idx="85">
                  <c:v>34.83798531034676</c:v>
                </c:pt>
                <c:pt idx="86">
                  <c:v>34.517037960993257</c:v>
                </c:pt>
                <c:pt idx="87">
                  <c:v>34.207897492235503</c:v>
                </c:pt>
                <c:pt idx="88">
                  <c:v>33.910706777050898</c:v>
                </c:pt>
                <c:pt idx="89">
                  <c:v>33.625599623473583</c:v>
                </c:pt>
                <c:pt idx="90">
                  <c:v>33.352701087467487</c:v>
                </c:pt>
                <c:pt idx="91">
                  <c:v>33.092127794184762</c:v>
                </c:pt>
                <c:pt idx="92">
                  <c:v>32.843988264608946</c:v>
                </c:pt>
                <c:pt idx="93">
                  <c:v>32.60838324471289</c:v>
                </c:pt>
                <c:pt idx="94">
                  <c:v>32.385406034401456</c:v>
                </c:pt>
                <c:pt idx="95">
                  <c:v>32.175142813663165</c:v>
                </c:pt>
                <c:pt idx="96">
                  <c:v>31.977672963508923</c:v>
                </c:pt>
                <c:pt idx="97">
                  <c:v>31.793069379432627</c:v>
                </c:pt>
                <c:pt idx="98">
                  <c:v>31.621398775293788</c:v>
                </c:pt>
                <c:pt idx="99">
                  <c:v>31.462721975674668</c:v>
                </c:pt>
                <c:pt idx="100">
                  <c:v>31.317094194928927</c:v>
                </c:pt>
                <c:pt idx="101">
                  <c:v>31.184565301287087</c:v>
                </c:pt>
                <c:pt idx="102">
                  <c:v>31.06518006454306</c:v>
                </c:pt>
                <c:pt idx="103">
                  <c:v>30.958978385980647</c:v>
                </c:pt>
                <c:pt idx="104">
                  <c:v>30.865995509354359</c:v>
                </c:pt>
                <c:pt idx="105">
                  <c:v>30.786262211858524</c:v>
                </c:pt>
                <c:pt idx="106">
                  <c:v>30.719804974166806</c:v>
                </c:pt>
                <c:pt idx="107">
                  <c:v>30.666646128733753</c:v>
                </c:pt>
                <c:pt idx="108">
                  <c:v>30.626803985685296</c:v>
                </c:pt>
                <c:pt idx="109">
                  <c:v>30.600292935725474</c:v>
                </c:pt>
                <c:pt idx="110">
                  <c:v>30.587123529616477</c:v>
                </c:pt>
                <c:pt idx="111">
                  <c:v>30.587302533884358</c:v>
                </c:pt>
                <c:pt idx="112">
                  <c:v>30.600832962516485</c:v>
                </c:pt>
                <c:pt idx="113">
                  <c:v>30.627714084516818</c:v>
                </c:pt>
                <c:pt idx="114">
                  <c:v>30.667941407297064</c:v>
                </c:pt>
                <c:pt idx="115">
                  <c:v>30.721506635971505</c:v>
                </c:pt>
                <c:pt idx="116">
                  <c:v>30.788397608742837</c:v>
                </c:pt>
                <c:pt idx="117">
                  <c:v>30.868598208660504</c:v>
                </c:pt>
                <c:pt idx="118">
                  <c:v>30.962088252141417</c:v>
                </c:pt>
                <c:pt idx="119">
                  <c:v>31.068843354765182</c:v>
                </c:pt>
                <c:pt idx="120">
                  <c:v>31.188834774951232</c:v>
                </c:pt>
                <c:pt idx="121">
                  <c:v>31.322029236259393</c:v>
                </c:pt>
                <c:pt idx="122">
                  <c:v>31.468388729172517</c:v>
                </c:pt>
                <c:pt idx="123">
                  <c:v>31.627870293344184</c:v>
                </c:pt>
                <c:pt idx="124">
                  <c:v>31.800425781434864</c:v>
                </c:pt>
                <c:pt idx="125">
                  <c:v>31.986001605792016</c:v>
                </c:pt>
                <c:pt idx="126">
                  <c:v>32.184538469376903</c:v>
                </c:pt>
                <c:pt idx="127">
                  <c:v>32.395971082487542</c:v>
                </c:pt>
                <c:pt idx="128">
                  <c:v>32.620227866979548</c:v>
                </c:pt>
                <c:pt idx="129">
                  <c:v>32.857230649845597</c:v>
                </c:pt>
                <c:pt idx="130">
                  <c:v>33.106894348167728</c:v>
                </c:pt>
                <c:pt idx="131">
                  <c:v>33.369126647621705</c:v>
                </c:pt>
                <c:pt idx="132">
                  <c:v>33.643827676869449</c:v>
                </c:pt>
                <c:pt idx="133">
                  <c:v>33.93088968033409</c:v>
                </c:pt>
                <c:pt idx="134">
                  <c:v>34.230196692003247</c:v>
                </c:pt>
                <c:pt idx="135">
                  <c:v>34.54162421305854</c:v>
                </c:pt>
                <c:pt idx="136">
                  <c:v>34.865038896260849</c:v>
                </c:pt>
                <c:pt idx="137">
                  <c:v>35.200298240152179</c:v>
                </c:pt>
                <c:pt idx="138">
                  <c:v>35.547250296242552</c:v>
                </c:pt>
                <c:pt idx="139">
                  <c:v>35.90573339244736</c:v>
                </c:pt>
                <c:pt idx="140">
                  <c:v>36.275575876113855</c:v>
                </c:pt>
                <c:pt idx="141">
                  <c:v>36.656595880017235</c:v>
                </c:pt>
                <c:pt idx="142">
                  <c:v>37.048601114738027</c:v>
                </c:pt>
                <c:pt idx="143">
                  <c:v>37.45138869081272</c:v>
                </c:pt>
                <c:pt idx="144">
                  <c:v>37.864744974015608</c:v>
                </c:pt>
                <c:pt idx="145">
                  <c:v>38.288445477038309</c:v>
                </c:pt>
                <c:pt idx="146">
                  <c:v>38.722254790728883</c:v>
                </c:pt>
                <c:pt idx="147">
                  <c:v>39.16592655787943</c:v>
                </c:pt>
                <c:pt idx="148">
                  <c:v>39.61920349236</c:v>
                </c:pt>
                <c:pt idx="149">
                  <c:v>40.08181744614415</c:v>
                </c:pt>
                <c:pt idx="150">
                  <c:v>40.553489526490395</c:v>
                </c:pt>
                <c:pt idx="151">
                  <c:v>41.033930265208852</c:v>
                </c:pt>
                <c:pt idx="152">
                  <c:v>41.522839841574843</c:v>
                </c:pt>
                <c:pt idx="153">
                  <c:v>42.019908360040787</c:v>
                </c:pt>
                <c:pt idx="154">
                  <c:v>42.524816183452913</c:v>
                </c:pt>
                <c:pt idx="155">
                  <c:v>43.037234322003528</c:v>
                </c:pt>
                <c:pt idx="156">
                  <c:v>43.55682487765619</c:v>
                </c:pt>
                <c:pt idx="157">
                  <c:v>44.083241543244739</c:v>
                </c:pt>
                <c:pt idx="158">
                  <c:v>44.616130154931916</c:v>
                </c:pt>
                <c:pt idx="159">
                  <c:v>45.155129296156773</c:v>
                </c:pt>
                <c:pt idx="160">
                  <c:v>45.699870950677635</c:v>
                </c:pt>
                <c:pt idx="161">
                  <c:v>46.249981201775995</c:v>
                </c:pt>
                <c:pt idx="162">
                  <c:v>46.80508097418857</c:v>
                </c:pt>
                <c:pt idx="163">
                  <c:v>47.364786814846624</c:v>
                </c:pt>
                <c:pt idx="164">
                  <c:v>47.928711708059772</c:v>
                </c:pt>
                <c:pt idx="165">
                  <c:v>48.496465920370674</c:v>
                </c:pt>
                <c:pt idx="166">
                  <c:v>49.067657869965181</c:v>
                </c:pt>
                <c:pt idx="167">
                  <c:v>49.641895015212377</c:v>
                </c:pt>
                <c:pt idx="168">
                  <c:v>50.218784756685871</c:v>
                </c:pt>
                <c:pt idx="169">
                  <c:v>50.79793534684061</c:v>
                </c:pt>
                <c:pt idx="170">
                  <c:v>51.37895680142708</c:v>
                </c:pt>
                <c:pt idx="171">
                  <c:v>51.961461806694558</c:v>
                </c:pt>
                <c:pt idx="172">
                  <c:v>52.545066616477733</c:v>
                </c:pt>
                <c:pt idx="173">
                  <c:v>53.129391933381008</c:v>
                </c:pt>
                <c:pt idx="174">
                  <c:v>53.714063768453592</c:v>
                </c:pt>
                <c:pt idx="175">
                  <c:v>54.298714273999494</c:v>
                </c:pt>
                <c:pt idx="176">
                  <c:v>54.882982544477791</c:v>
                </c:pt>
                <c:pt idx="177">
                  <c:v>55.466515380808453</c:v>
                </c:pt>
                <c:pt idx="178">
                  <c:v>56.048968013809692</c:v>
                </c:pt>
                <c:pt idx="179">
                  <c:v>56.630004782946791</c:v>
                </c:pt>
                <c:pt idx="180">
                  <c:v>57.20929976705964</c:v>
                </c:pt>
                <c:pt idx="181">
                  <c:v>57.786537364228856</c:v>
                </c:pt>
                <c:pt idx="182">
                  <c:v>58.361412818485299</c:v>
                </c:pt>
                <c:pt idx="183">
                  <c:v>58.933632691578929</c:v>
                </c:pt>
                <c:pt idx="184">
                  <c:v>59.502915278560501</c:v>
                </c:pt>
                <c:pt idx="185">
                  <c:v>60.068990966451977</c:v>
                </c:pt>
                <c:pt idx="186">
                  <c:v>60.631602535784403</c:v>
                </c:pt>
                <c:pt idx="187">
                  <c:v>61.190505405257703</c:v>
                </c:pt>
                <c:pt idx="188">
                  <c:v>61.745467820242311</c:v>
                </c:pt>
                <c:pt idx="189">
                  <c:v>62.296270986261241</c:v>
                </c:pt>
                <c:pt idx="190">
                  <c:v>62.842709148964929</c:v>
                </c:pt>
                <c:pt idx="191">
                  <c:v>63.384589622475225</c:v>
                </c:pt>
                <c:pt idx="192">
                  <c:v>63.921732768265919</c:v>
                </c:pt>
                <c:pt idx="193">
                  <c:v>64.45397192700247</c:v>
                </c:pt>
                <c:pt idx="194">
                  <c:v>64.981153306001019</c:v>
                </c:pt>
                <c:pt idx="195">
                  <c:v>65.503135825113645</c:v>
                </c:pt>
                <c:pt idx="196">
                  <c:v>66.019790924000247</c:v>
                </c:pt>
                <c:pt idx="197">
                  <c:v>66.531002333827232</c:v>
                </c:pt>
                <c:pt idx="198">
                  <c:v>67.036665816481104</c:v>
                </c:pt>
                <c:pt idx="199">
                  <c:v>67.536688874420093</c:v>
                </c:pt>
                <c:pt idx="200">
                  <c:v>68.030990434240607</c:v>
                </c:pt>
                <c:pt idx="201">
                  <c:v>68.51950050702348</c:v>
                </c:pt>
                <c:pt idx="202">
                  <c:v>69.002159828416424</c:v>
                </c:pt>
                <c:pt idx="203">
                  <c:v>69.478919481343112</c:v>
                </c:pt>
                <c:pt idx="204">
                  <c:v>69.949740504087202</c:v>
                </c:pt>
                <c:pt idx="205">
                  <c:v>70.414593486382003</c:v>
                </c:pt>
                <c:pt idx="206">
                  <c:v>70.873458155984551</c:v>
                </c:pt>
                <c:pt idx="207">
                  <c:v>71.326322958046561</c:v>
                </c:pt>
                <c:pt idx="208">
                  <c:v>71.773184629443577</c:v>
                </c:pt>
                <c:pt idx="209">
                  <c:v>72.214047770037197</c:v>
                </c:pt>
                <c:pt idx="210">
                  <c:v>72.648924412680671</c:v>
                </c:pt>
                <c:pt idx="211">
                  <c:v>73.077833593599536</c:v>
                </c:pt>
                <c:pt idx="212">
                  <c:v>73.500800924602217</c:v>
                </c:pt>
                <c:pt idx="213">
                  <c:v>73.917858168412678</c:v>
                </c:pt>
                <c:pt idx="214">
                  <c:v>74.329042818238321</c:v>
                </c:pt>
                <c:pt idx="215">
                  <c:v>74.73439768253516</c:v>
                </c:pt>
                <c:pt idx="216">
                  <c:v>75.133970475770198</c:v>
                </c:pt>
                <c:pt idx="217">
                  <c:v>75.527813415837201</c:v>
                </c:pt>
                <c:pt idx="218">
                  <c:v>75.915982828638093</c:v>
                </c:pt>
                <c:pt idx="219">
                  <c:v>76.298538760210832</c:v>
                </c:pt>
                <c:pt idx="220">
                  <c:v>76.675544596663059</c:v>
                </c:pt>
                <c:pt idx="221">
                  <c:v>77.047066692051956</c:v>
                </c:pt>
                <c:pt idx="222">
                  <c:v>77.413174004246287</c:v>
                </c:pt>
                <c:pt idx="223">
                  <c:v>77.773937738709236</c:v>
                </c:pt>
                <c:pt idx="224">
                  <c:v>78.129431000048413</c:v>
                </c:pt>
                <c:pt idx="225">
                  <c:v>78.479728451100016</c:v>
                </c:pt>
                <c:pt idx="226">
                  <c:v>78.824905979245017</c:v>
                </c:pt>
                <c:pt idx="227">
                  <c:v>79.165040369578847</c:v>
                </c:pt>
                <c:pt idx="228">
                  <c:v>79.500208984511573</c:v>
                </c:pt>
                <c:pt idx="229">
                  <c:v>79.830489449318961</c:v>
                </c:pt>
                <c:pt idx="230">
                  <c:v>80.155959343120145</c:v>
                </c:pt>
                <c:pt idx="231">
                  <c:v>80.476695894723989</c:v>
                </c:pt>
                <c:pt idx="232">
                  <c:v>80.792775682756542</c:v>
                </c:pt>
                <c:pt idx="233">
                  <c:v>81.104274339459749</c:v>
                </c:pt>
                <c:pt idx="234">
                  <c:v>81.41126625752733</c:v>
                </c:pt>
                <c:pt idx="235">
                  <c:v>81.713824299341823</c:v>
                </c:pt>
                <c:pt idx="236">
                  <c:v>82.012019507966727</c:v>
                </c:pt>
                <c:pt idx="237">
                  <c:v>82.305920819245216</c:v>
                </c:pt>
                <c:pt idx="238">
                  <c:v>82.595594774369289</c:v>
                </c:pt>
                <c:pt idx="239">
                  <c:v>82.88110523228957</c:v>
                </c:pt>
                <c:pt idx="240">
                  <c:v>83.162513081357474</c:v>
                </c:pt>
                <c:pt idx="241">
                  <c:v>83.439875949610752</c:v>
                </c:pt>
                <c:pt idx="242">
                  <c:v>83.713247913149345</c:v>
                </c:pt>
                <c:pt idx="243">
                  <c:v>83.982679202075005</c:v>
                </c:pt>
                <c:pt idx="244">
                  <c:v>84.248215903519224</c:v>
                </c:pt>
                <c:pt idx="245">
                  <c:v>84.509899661329626</c:v>
                </c:pt>
                <c:pt idx="246">
                  <c:v>84.767767372032779</c:v>
                </c:pt>
                <c:pt idx="247">
                  <c:v>85.021850876770259</c:v>
                </c:pt>
                <c:pt idx="248">
                  <c:v>85.272176648957043</c:v>
                </c:pt>
                <c:pt idx="249">
                  <c:v>85.518765477501248</c:v>
                </c:pt>
                <c:pt idx="250">
                  <c:v>85.761632145505857</c:v>
                </c:pt>
                <c:pt idx="251">
                  <c:v>86.000785104464086</c:v>
                </c:pt>
                <c:pt idx="252">
                  <c:v>86.236226144067913</c:v>
                </c:pt>
                <c:pt idx="253">
                  <c:v>86.467950057855063</c:v>
                </c:pt>
                <c:pt idx="254">
                  <c:v>86.695944305042673</c:v>
                </c:pt>
                <c:pt idx="255">
                  <c:v>86.920188669023929</c:v>
                </c:pt>
                <c:pt idx="256">
                  <c:v>87.140654913137965</c:v>
                </c:pt>
                <c:pt idx="257">
                  <c:v>87.357306434475333</c:v>
                </c:pt>
                <c:pt idx="258">
                  <c:v>87.57009791662901</c:v>
                </c:pt>
                <c:pt idx="259">
                  <c:v>87.778974982468498</c:v>
                </c:pt>
                <c:pt idx="260">
                  <c:v>87.98387384818021</c:v>
                </c:pt>
                <c:pt idx="261">
                  <c:v>88.18472097999684</c:v>
                </c:pt>
                <c:pt idx="262">
                  <c:v>88.381432755216238</c:v>
                </c:pt>
                <c:pt idx="263">
                  <c:v>88.573915129302591</c:v>
                </c:pt>
                <c:pt idx="264">
                  <c:v>88.762063311043065</c:v>
                </c:pt>
                <c:pt idx="265">
                  <c:v>88.945761447933634</c:v>
                </c:pt>
                <c:pt idx="266">
                  <c:v>89.124882324149553</c:v>
                </c:pt>
                <c:pt idx="267">
                  <c:v>89.299287073647164</c:v>
                </c:pt>
                <c:pt idx="268">
                  <c:v>89.468824911125395</c:v>
                </c:pt>
                <c:pt idx="269">
                  <c:v>89.633332883745382</c:v>
                </c:pt>
                <c:pt idx="270">
                  <c:v>89.792635646674782</c:v>
                </c:pt>
                <c:pt idx="271">
                  <c:v>89.946545265668206</c:v>
                </c:pt>
                <c:pt idx="272">
                  <c:v>90.09486105002469</c:v>
                </c:pt>
                <c:pt idx="273">
                  <c:v>90.237369419376805</c:v>
                </c:pt>
                <c:pt idx="274">
                  <c:v>90.373843807850619</c:v>
                </c:pt>
                <c:pt idx="275">
                  <c:v>90.504044609185371</c:v>
                </c:pt>
                <c:pt idx="276">
                  <c:v>90.627719166433323</c:v>
                </c:pt>
                <c:pt idx="277">
                  <c:v>90.744601809847538</c:v>
                </c:pt>
                <c:pt idx="278">
                  <c:v>90.854413946507151</c:v>
                </c:pt>
                <c:pt idx="279">
                  <c:v>90.956864205145607</c:v>
                </c:pt>
                <c:pt idx="280">
                  <c:v>91.051648639499135</c:v>
                </c:pt>
                <c:pt idx="281">
                  <c:v>91.138450993311992</c:v>
                </c:pt>
                <c:pt idx="282">
                  <c:v>91.216943029897308</c:v>
                </c:pt>
                <c:pt idx="283">
                  <c:v>91.286784928859973</c:v>
                </c:pt>
                <c:pt idx="284">
                  <c:v>91.347625752255681</c:v>
                </c:pt>
                <c:pt idx="285">
                  <c:v>91.399103982067828</c:v>
                </c:pt>
                <c:pt idx="286">
                  <c:v>91.440848130443598</c:v>
                </c:pt>
                <c:pt idx="287">
                  <c:v>91.472477423643028</c:v>
                </c:pt>
                <c:pt idx="288">
                  <c:v>91.493602560127968</c:v>
                </c:pt>
                <c:pt idx="289">
                  <c:v>91.50382654264115</c:v>
                </c:pt>
                <c:pt idx="290">
                  <c:v>91.502745583519754</c:v>
                </c:pt>
                <c:pt idx="291">
                  <c:v>91.489950081855071</c:v>
                </c:pt>
                <c:pt idx="292">
                  <c:v>91.465025670448327</c:v>
                </c:pt>
                <c:pt idx="293">
                  <c:v>91.427554329839225</c:v>
                </c:pt>
                <c:pt idx="294">
                  <c:v>91.377115566011682</c:v>
                </c:pt>
                <c:pt idx="295">
                  <c:v>91.313287647692889</c:v>
                </c:pt>
                <c:pt idx="296">
                  <c:v>91.235648898510235</c:v>
                </c:pt>
                <c:pt idx="297">
                  <c:v>91.143779038617708</c:v>
                </c:pt>
                <c:pt idx="298">
                  <c:v>91.037260569796246</c:v>
                </c:pt>
                <c:pt idx="299">
                  <c:v>90.915680197457135</c:v>
                </c:pt>
                <c:pt idx="300">
                  <c:v>90.778630282453051</c:v>
                </c:pt>
                <c:pt idx="301">
                  <c:v>90.625710315137297</c:v>
                </c:pt>
                <c:pt idx="302">
                  <c:v>90.456528403705789</c:v>
                </c:pt>
                <c:pt idx="303">
                  <c:v>90.270702768522312</c:v>
                </c:pt>
                <c:pt idx="304">
                  <c:v>90.067863233879947</c:v>
                </c:pt>
                <c:pt idx="305">
                  <c:v>89.847652708468587</c:v>
                </c:pt>
                <c:pt idx="306">
                  <c:v>89.609728645725525</c:v>
                </c:pt>
                <c:pt idx="307">
                  <c:v>89.353764475258345</c:v>
                </c:pt>
                <c:pt idx="308">
                  <c:v>89.079450996582906</c:v>
                </c:pt>
                <c:pt idx="309">
                  <c:v>88.786497726610648</c:v>
                </c:pt>
                <c:pt idx="310">
                  <c:v>88.474634192554745</c:v>
                </c:pt>
                <c:pt idx="311">
                  <c:v>88.143611162259077</c:v>
                </c:pt>
                <c:pt idx="312">
                  <c:v>87.793201804362127</c:v>
                </c:pt>
                <c:pt idx="313">
                  <c:v>87.423202771177301</c:v>
                </c:pt>
                <c:pt idx="314">
                  <c:v>87.03343519772254</c:v>
                </c:pt>
                <c:pt idx="315">
                  <c:v>86.623745610917297</c:v>
                </c:pt>
                <c:pt idx="316">
                  <c:v>86.194006743625891</c:v>
                </c:pt>
                <c:pt idx="317">
                  <c:v>85.74411824889782</c:v>
                </c:pt>
                <c:pt idx="318">
                  <c:v>85.274007310500153</c:v>
                </c:pt>
                <c:pt idx="319">
                  <c:v>84.783629146561879</c:v>
                </c:pt>
                <c:pt idx="320">
                  <c:v>84.272967403916908</c:v>
                </c:pt>
                <c:pt idx="321">
                  <c:v>83.742034441515287</c:v>
                </c:pt>
                <c:pt idx="322">
                  <c:v>83.190871502006075</c:v>
                </c:pt>
                <c:pt idx="323">
                  <c:v>82.619548771384814</c:v>
                </c:pt>
                <c:pt idx="324">
                  <c:v>82.028165327299064</c:v>
                </c:pt>
                <c:pt idx="325">
                  <c:v>81.416848977343591</c:v>
                </c:pt>
                <c:pt idx="326">
                  <c:v>80.785755989322936</c:v>
                </c:pt>
                <c:pt idx="327">
                  <c:v>80.135070716109794</c:v>
                </c:pt>
                <c:pt idx="328">
                  <c:v>79.465005118304845</c:v>
                </c:pt>
                <c:pt idx="329">
                  <c:v>78.775798188435203</c:v>
                </c:pt>
                <c:pt idx="330">
                  <c:v>78.067715280911727</c:v>
                </c:pt>
                <c:pt idx="331">
                  <c:v>77.341047352375838</c:v>
                </c:pt>
                <c:pt idx="332">
                  <c:v>76.596110117426264</c:v>
                </c:pt>
                <c:pt idx="333">
                  <c:v>75.833243125003392</c:v>
                </c:pt>
                <c:pt idx="334">
                  <c:v>75.052808760955344</c:v>
                </c:pt>
                <c:pt idx="335">
                  <c:v>74.255191182450915</c:v>
                </c:pt>
                <c:pt idx="336">
                  <c:v>73.440795190044099</c:v>
                </c:pt>
                <c:pt idx="337">
                  <c:v>72.610045043224062</c:v>
                </c:pt>
                <c:pt idx="338">
                  <c:v>71.763383225304935</c:v>
                </c:pt>
                <c:pt idx="339">
                  <c:v>70.901269163449996</c:v>
                </c:pt>
                <c:pt idx="340">
                  <c:v>70.024177909553245</c:v>
                </c:pt>
                <c:pt idx="341">
                  <c:v>69.132598787567034</c:v>
                </c:pt>
                <c:pt idx="342">
                  <c:v>68.227034012732304</c:v>
                </c:pt>
                <c:pt idx="343">
                  <c:v>67.30799728798884</c:v>
                </c:pt>
                <c:pt idx="344">
                  <c:v>66.376012382665479</c:v>
                </c:pt>
                <c:pt idx="345">
                  <c:v>65.43161169835949</c:v>
                </c:pt>
                <c:pt idx="346">
                  <c:v>64.475334826722147</c:v>
                </c:pt>
                <c:pt idx="347">
                  <c:v>63.50772710369084</c:v>
                </c:pt>
                <c:pt idx="348">
                  <c:v>62.529338164506719</c:v>
                </c:pt>
                <c:pt idx="349">
                  <c:v>61.54072050371844</c:v>
                </c:pt>
                <c:pt idx="350">
                  <c:v>60.542428044204577</c:v>
                </c:pt>
                <c:pt idx="351">
                  <c:v>59.53501471910441</c:v>
                </c:pt>
                <c:pt idx="352">
                  <c:v>58.51903307045027</c:v>
                </c:pt>
                <c:pt idx="353">
                  <c:v>57.495032868169282</c:v>
                </c:pt>
                <c:pt idx="354">
                  <c:v>56.463559753034382</c:v>
                </c:pt>
                <c:pt idx="355">
                  <c:v>55.425153907070644</c:v>
                </c:pt>
                <c:pt idx="356">
                  <c:v>54.380348754842963</c:v>
                </c:pt>
                <c:pt idx="357">
                  <c:v>53.329669698975842</c:v>
                </c:pt>
                <c:pt idx="358">
                  <c:v>52.273632893188278</c:v>
                </c:pt>
                <c:pt idx="359">
                  <c:v>51.212744056038787</c:v>
                </c:pt>
                <c:pt idx="360">
                  <c:v>50.147497328488427</c:v>
                </c:pt>
                <c:pt idx="361">
                  <c:v>49.078374178277748</c:v>
                </c:pt>
                <c:pt idx="362">
                  <c:v>48.005842353985564</c:v>
                </c:pt>
                <c:pt idx="363">
                  <c:v>46.930354891486843</c:v>
                </c:pt>
                <c:pt idx="364">
                  <c:v>45.852349175349396</c:v>
                </c:pt>
                <c:pt idx="365">
                  <c:v>44.772246057507864</c:v>
                </c:pt>
                <c:pt idx="366">
                  <c:v>43.690449035316341</c:v>
                </c:pt>
                <c:pt idx="367">
                  <c:v>42.607343490828441</c:v>
                </c:pt>
                <c:pt idx="368">
                  <c:v>41.523295992864263</c:v>
                </c:pt>
                <c:pt idx="369">
                  <c:v>40.438653663118593</c:v>
                </c:pt>
                <c:pt idx="370">
                  <c:v>39.353743607234442</c:v>
                </c:pt>
                <c:pt idx="371">
                  <c:v>38.268872411417412</c:v>
                </c:pt>
                <c:pt idx="372">
                  <c:v>37.184325704817844</c:v>
                </c:pt>
                <c:pt idx="373">
                  <c:v>36.100367787531518</c:v>
                </c:pt>
                <c:pt idx="374">
                  <c:v>35.017241323710536</c:v>
                </c:pt>
                <c:pt idx="375">
                  <c:v>33.9351670989127</c:v>
                </c:pt>
                <c:pt idx="376">
                  <c:v>32.854343840458135</c:v>
                </c:pt>
                <c:pt idx="377">
                  <c:v>31.774948099222886</c:v>
                </c:pt>
                <c:pt idx="378">
                  <c:v>30.697134190986127</c:v>
                </c:pt>
                <c:pt idx="379">
                  <c:v>29.621034195131845</c:v>
                </c:pt>
                <c:pt idx="380">
                  <c:v>28.546758008248993</c:v>
                </c:pt>
                <c:pt idx="381">
                  <c:v>27.474393449931195</c:v>
                </c:pt>
                <c:pt idx="382">
                  <c:v>26.404006417859161</c:v>
                </c:pt>
                <c:pt idx="383">
                  <c:v>25.335641089089396</c:v>
                </c:pt>
                <c:pt idx="384">
                  <c:v>24.269320164327841</c:v>
                </c:pt>
                <c:pt idx="385">
                  <c:v>23.20504515187325</c:v>
                </c:pt>
                <c:pt idx="386">
                  <c:v>22.142796687851927</c:v>
                </c:pt>
                <c:pt idx="387">
                  <c:v>21.082534889340518</c:v>
                </c:pt>
                <c:pt idx="388">
                  <c:v>20.024199736985068</c:v>
                </c:pt>
                <c:pt idx="389">
                  <c:v>18.967711483773719</c:v>
                </c:pt>
                <c:pt idx="390">
                  <c:v>17.912971086695535</c:v>
                </c:pt>
                <c:pt idx="391">
                  <c:v>16.859860658125278</c:v>
                </c:pt>
                <c:pt idx="392">
                  <c:v>15.808243933920624</c:v>
                </c:pt>
                <c:pt idx="393">
                  <c:v>14.757966755370067</c:v>
                </c:pt>
                <c:pt idx="394">
                  <c:v>13.708857562325207</c:v>
                </c:pt>
                <c:pt idx="395">
                  <c:v>12.660727895057274</c:v>
                </c:pt>
                <c:pt idx="396">
                  <c:v>11.613372902597678</c:v>
                </c:pt>
                <c:pt idx="397">
                  <c:v>10.566571855576706</c:v>
                </c:pt>
                <c:pt idx="398">
                  <c:v>9.5200886618205764</c:v>
                </c:pt>
                <c:pt idx="399">
                  <c:v>8.4736723832401495</c:v>
                </c:pt>
                <c:pt idx="400">
                  <c:v>7.4270577528241173</c:v>
                </c:pt>
                <c:pt idx="401">
                  <c:v>6.3799656908387297</c:v>
                </c:pt>
                <c:pt idx="402">
                  <c:v>5.3321038196243205</c:v>
                </c:pt>
                <c:pt idx="403">
                  <c:v>4.2831669766960649</c:v>
                </c:pt>
                <c:pt idx="404">
                  <c:v>3.2328377261444712</c:v>
                </c:pt>
                <c:pt idx="405">
                  <c:v>2.1807868686670444</c:v>
                </c:pt>
                <c:pt idx="406">
                  <c:v>1.1266739508591541</c:v>
                </c:pt>
                <c:pt idx="407">
                  <c:v>7.0147774735871943E-2</c:v>
                </c:pt>
                <c:pt idx="408">
                  <c:v>-0.98915309123325701</c:v>
                </c:pt>
                <c:pt idx="409">
                  <c:v>-2.051599797948759</c:v>
                </c:pt>
                <c:pt idx="410">
                  <c:v>-3.1175726964059995</c:v>
                </c:pt>
                <c:pt idx="411">
                  <c:v>-4.1874608110174796</c:v>
                </c:pt>
                <c:pt idx="412">
                  <c:v>-5.2616613028800998</c:v>
                </c:pt>
                <c:pt idx="413">
                  <c:v>-6.3405789199842708</c:v>
                </c:pt>
                <c:pt idx="414">
                  <c:v>-7.4246254310050137</c:v>
                </c:pt>
                <c:pt idx="415">
                  <c:v>-8.5142190389492551</c:v>
                </c:pt>
                <c:pt idx="416">
                  <c:v>-9.6097837705787548</c:v>
                </c:pt>
                <c:pt idx="417">
                  <c:v>-10.711748837152822</c:v>
                </c:pt>
                <c:pt idx="418">
                  <c:v>-11.820547961677537</c:v>
                </c:pt>
                <c:pt idx="419">
                  <c:v>-12.936618667484378</c:v>
                </c:pt>
                <c:pt idx="420">
                  <c:v>-14.06040152261429</c:v>
                </c:pt>
                <c:pt idx="421">
                  <c:v>-15.192339334134997</c:v>
                </c:pt>
                <c:pt idx="422">
                  <c:v>-16.332876286204751</c:v>
                </c:pt>
                <c:pt idx="423">
                  <c:v>-17.482457015407128</c:v>
                </c:pt>
                <c:pt idx="424">
                  <c:v>-18.641525616606589</c:v>
                </c:pt>
                <c:pt idx="425">
                  <c:v>-19.810524572385855</c:v>
                </c:pt>
                <c:pt idx="426">
                  <c:v>-20.989893598955135</c:v>
                </c:pt>
                <c:pt idx="427">
                  <c:v>-22.180068401354148</c:v>
                </c:pt>
                <c:pt idx="428">
                  <c:v>-23.38147933078135</c:v>
                </c:pt>
                <c:pt idx="429">
                  <c:v>-24.594549937010974</c:v>
                </c:pt>
                <c:pt idx="430">
                  <c:v>-25.819695409099356</c:v>
                </c:pt>
                <c:pt idx="431">
                  <c:v>-27.057320898011795</c:v>
                </c:pt>
                <c:pt idx="432">
                  <c:v>-28.307819715371966</c:v>
                </c:pt>
                <c:pt idx="433">
                  <c:v>-29.571571403346464</c:v>
                </c:pt>
                <c:pt idx="434">
                  <c:v>-30.848939671693977</c:v>
                </c:pt>
                <c:pt idx="435">
                  <c:v>-32.140270199308787</c:v>
                </c:pt>
                <c:pt idx="436">
                  <c:v>-33.445888299172985</c:v>
                </c:pt>
                <c:pt idx="437">
                  <c:v>-34.766096447518805</c:v>
                </c:pt>
                <c:pt idx="438">
                  <c:v>-36.101171680254758</c:v>
                </c:pt>
                <c:pt idx="439">
                  <c:v>-37.451362862289308</c:v>
                </c:pt>
                <c:pt idx="440">
                  <c:v>-38.816887838356621</c:v>
                </c:pt>
                <c:pt idx="441">
                  <c:v>-40.197930477279698</c:v>
                </c:pt>
                <c:pt idx="442">
                  <c:v>-41.594637625289984</c:v>
                </c:pt>
                <c:pt idx="443">
                  <c:v>-43.007115988059773</c:v>
                </c:pt>
                <c:pt idx="444">
                  <c:v>-44.435428965427512</c:v>
                </c:pt>
                <c:pt idx="445">
                  <c:v>-45.879593467345011</c:v>
                </c:pt>
                <c:pt idx="446">
                  <c:v>-47.339576744302825</c:v>
                </c:pt>
                <c:pt idx="447">
                  <c:v>-48.8152932702436</c:v>
                </c:pt>
                <c:pt idx="448">
                  <c:v>-50.306601720658279</c:v>
                </c:pt>
                <c:pt idx="449">
                  <c:v>-51.813302093007238</c:v>
                </c:pt>
                <c:pt idx="450">
                  <c:v>-53.335133020647042</c:v>
                </c:pt>
                <c:pt idx="451">
                  <c:v>-54.871769334870841</c:v>
                </c:pt>
                <c:pt idx="452">
                  <c:v>-56.42281993228908</c:v>
                </c:pt>
                <c:pt idx="453">
                  <c:v>-57.987826006364301</c:v>
                </c:pt>
                <c:pt idx="454">
                  <c:v>-59.566259702228741</c:v>
                </c:pt>
                <c:pt idx="455">
                  <c:v>-61.157523252821719</c:v>
                </c:pt>
                <c:pt idx="456">
                  <c:v>-62.760948651605425</c:v>
                </c:pt>
                <c:pt idx="457">
                  <c:v>-64.375797912636045</c:v>
                </c:pt>
                <c:pt idx="458">
                  <c:v>-66.001263962375447</c:v>
                </c:pt>
                <c:pt idx="459">
                  <c:v>-67.636472199409639</c:v>
                </c:pt>
                <c:pt idx="460">
                  <c:v>-69.280482748182521</c:v>
                </c:pt>
                <c:pt idx="461">
                  <c:v>-70.932293421146809</c:v>
                </c:pt>
                <c:pt idx="462">
                  <c:v>-72.590843390581767</c:v>
                </c:pt>
                <c:pt idx="463">
                  <c:v>-74.255017557070133</c:v>
                </c:pt>
                <c:pt idx="464">
                  <c:v>-75.923651586664278</c:v>
                </c:pt>
                <c:pt idx="465">
                  <c:v>-77.595537573572216</c:v>
                </c:pt>
                <c:pt idx="466">
                  <c:v>-79.269430270301925</c:v>
                </c:pt>
                <c:pt idx="467">
                  <c:v>-80.94405381311914</c:v>
                </c:pt>
                <c:pt idx="468">
                  <c:v>-82.618108858011908</c:v>
                </c:pt>
                <c:pt idx="469">
                  <c:v>-84.290280031565871</c:v>
                </c:pt>
                <c:pt idx="470">
                  <c:v>-85.95924359272351</c:v>
                </c:pt>
                <c:pt idx="471">
                  <c:v>-87.62367519568717</c:v>
                </c:pt>
                <c:pt idx="472">
                  <c:v>-89.282257641454564</c:v>
                </c:pt>
                <c:pt idx="473">
                  <c:v>-90.933688505816377</c:v>
                </c:pt>
                <c:pt idx="474">
                  <c:v>-92.576687535022074</c:v>
                </c:pt>
                <c:pt idx="475">
                  <c:v>-94.210003706634652</c:v>
                </c:pt>
                <c:pt idx="476">
                  <c:v>-95.832421862059803</c:v>
                </c:pt>
                <c:pt idx="477">
                  <c:v>-97.442768828442212</c:v>
                </c:pt>
                <c:pt idx="478">
                  <c:v>-99.039918960647043</c:v>
                </c:pt>
                <c:pt idx="479">
                  <c:v>-100.62279904833463</c:v>
                </c:pt>
                <c:pt idx="480">
                  <c:v>-102.19039254815173</c:v>
                </c:pt>
                <c:pt idx="481">
                  <c:v>-103.74174311626439</c:v>
                </c:pt>
                <c:pt idx="482">
                  <c:v>-105.2759574313181</c:v>
                </c:pt>
                <c:pt idx="483">
                  <c:v>-106.79220731198541</c:v>
                </c:pt>
                <c:pt idx="484">
                  <c:v>-108.28973114614197</c:v>
                </c:pt>
                <c:pt idx="485">
                  <c:v>-109.76783466011274</c:v>
                </c:pt>
                <c:pt idx="486">
                  <c:v>-111.22589106612554</c:v>
                </c:pt>
                <c:pt idx="487">
                  <c:v>-112.66334063396992</c:v>
                </c:pt>
                <c:pt idx="488">
                  <c:v>-114.07968973884556</c:v>
                </c:pt>
                <c:pt idx="489">
                  <c:v>-115.47450944155634</c:v>
                </c:pt>
                <c:pt idx="490">
                  <c:v>-116.84743365958833</c:v>
                </c:pt>
                <c:pt idx="491">
                  <c:v>-118.19815698845272</c:v>
                </c:pt>
                <c:pt idx="492">
                  <c:v>-119.52643223206725</c:v>
                </c:pt>
                <c:pt idx="493">
                  <c:v>-120.83206769915016</c:v>
                </c:pt>
                <c:pt idx="494">
                  <c:v>-122.11492431981866</c:v>
                </c:pt>
                <c:pt idx="495">
                  <c:v>-123.37491263302307</c:v>
                </c:pt>
                <c:pt idx="496">
                  <c:v>-124.61198969132229</c:v>
                </c:pt>
                <c:pt idx="497">
                  <c:v>-125.82615592501641</c:v>
                </c:pt>
                <c:pt idx="498">
                  <c:v>-127.01745200295167</c:v>
                </c:pt>
                <c:pt idx="499">
                  <c:v>-128.1859557225703</c:v>
                </c:pt>
                <c:pt idx="500">
                  <c:v>-129.33177895710395</c:v>
                </c:pt>
                <c:pt idx="501">
                  <c:v>-130.4550646833043</c:v>
                </c:pt>
                <c:pt idx="502">
                  <c:v>-131.55598410885833</c:v>
                </c:pt>
                <c:pt idx="503">
                  <c:v>-132.63473391468702</c:v>
                </c:pt>
                <c:pt idx="504">
                  <c:v>-133.69153362372467</c:v>
                </c:pt>
                <c:pt idx="505">
                  <c:v>-134.72662310453575</c:v>
                </c:pt>
                <c:pt idx="506">
                  <c:v>-135.74026021525927</c:v>
                </c:pt>
                <c:pt idx="507">
                  <c:v>-136.7327185908627</c:v>
                </c:pt>
                <c:pt idx="508">
                  <c:v>-137.70428557453866</c:v>
                </c:pt>
                <c:pt idx="509">
                  <c:v>-138.65526029226578</c:v>
                </c:pt>
                <c:pt idx="510">
                  <c:v>-139.58595186803473</c:v>
                </c:pt>
                <c:pt idx="511">
                  <c:v>-140.49667777603449</c:v>
                </c:pt>
                <c:pt idx="512">
                  <c:v>-141.38776232511248</c:v>
                </c:pt>
                <c:pt idx="513">
                  <c:v>-142.2595352700861</c:v>
                </c:pt>
                <c:pt idx="514">
                  <c:v>-143.11233054394242</c:v>
                </c:pt>
                <c:pt idx="515">
                  <c:v>-143.94648510458958</c:v>
                </c:pt>
                <c:pt idx="516">
                  <c:v>-144.76233788960789</c:v>
                </c:pt>
                <c:pt idx="517">
                  <c:v>-145.56022887233996</c:v>
                </c:pt>
                <c:pt idx="518">
                  <c:v>-146.3404982126761</c:v>
                </c:pt>
                <c:pt idx="519">
                  <c:v>-147.10348549596998</c:v>
                </c:pt>
                <c:pt idx="520">
                  <c:v>-147.84952905367982</c:v>
                </c:pt>
                <c:pt idx="521">
                  <c:v>-148.57896535954055</c:v>
                </c:pt>
                <c:pt idx="522">
                  <c:v>-149.29212849531152</c:v>
                </c:pt>
                <c:pt idx="523">
                  <c:v>-149.98934968043019</c:v>
                </c:pt>
                <c:pt idx="524">
                  <c:v>-150.67095686019445</c:v>
                </c:pt>
                <c:pt idx="525">
                  <c:v>-151.33727434739359</c:v>
                </c:pt>
                <c:pt idx="526">
                  <c:v>-151.9886225126383</c:v>
                </c:pt>
                <c:pt idx="527">
                  <c:v>-152.62531751893073</c:v>
                </c:pt>
                <c:pt idx="528">
                  <c:v>-153.24767109633979</c:v>
                </c:pt>
                <c:pt idx="529">
                  <c:v>-153.85599035293848</c:v>
                </c:pt>
                <c:pt idx="530">
                  <c:v>-154.45057761844205</c:v>
                </c:pt>
                <c:pt idx="531">
                  <c:v>-155.0317303172838</c:v>
                </c:pt>
                <c:pt idx="532">
                  <c:v>-155.5997408681034</c:v>
                </c:pt>
                <c:pt idx="533">
                  <c:v>-156.15489660689516</c:v>
                </c:pt>
                <c:pt idx="534">
                  <c:v>-156.69747973128014</c:v>
                </c:pt>
                <c:pt idx="535">
                  <c:v>-157.2277672636003</c:v>
                </c:pt>
                <c:pt idx="536">
                  <c:v>-157.74603103072801</c:v>
                </c:pt>
                <c:pt idx="537">
                  <c:v>-158.25253765868385</c:v>
                </c:pt>
                <c:pt idx="538">
                  <c:v>-158.74754858032279</c:v>
                </c:pt>
                <c:pt idx="539">
                  <c:v>-159.23132005452288</c:v>
                </c:pt>
                <c:pt idx="540">
                  <c:v>-159.704103195453</c:v>
                </c:pt>
                <c:pt idx="541">
                  <c:v>-160.16614401063651</c:v>
                </c:pt>
              </c:numCache>
            </c:numRef>
          </c:yVal>
          <c:smooth val="1"/>
          <c:extLst>
            <c:ext xmlns:c16="http://schemas.microsoft.com/office/drawing/2014/chart" uri="{C3380CC4-5D6E-409C-BE32-E72D297353CC}">
              <c16:uniqueId val="{00000001-7AB1-42AA-8DBD-6D7B5452EF93}"/>
            </c:ext>
          </c:extLst>
        </c:ser>
        <c:dLbls>
          <c:showLegendKey val="0"/>
          <c:showVal val="0"/>
          <c:showCatName val="0"/>
          <c:showSerName val="0"/>
          <c:showPercent val="0"/>
          <c:showBubbleSize val="0"/>
        </c:dLbls>
        <c:axId val="365469056"/>
        <c:axId val="365467520"/>
      </c:scatterChart>
      <c:valAx>
        <c:axId val="36545523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65600"/>
        <c:crosses val="autoZero"/>
        <c:crossBetween val="midCat"/>
      </c:valAx>
      <c:valAx>
        <c:axId val="36546560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365455232"/>
        <c:crosses val="autoZero"/>
        <c:crossBetween val="midCat"/>
        <c:majorUnit val="20"/>
        <c:minorUnit val="10"/>
      </c:valAx>
      <c:valAx>
        <c:axId val="365467520"/>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365469056"/>
        <c:crosses val="max"/>
        <c:crossBetween val="midCat"/>
        <c:majorUnit val="90"/>
        <c:minorUnit val="45"/>
      </c:valAx>
      <c:valAx>
        <c:axId val="365469056"/>
        <c:scaling>
          <c:logBase val="10"/>
          <c:orientation val="minMax"/>
        </c:scaling>
        <c:delete val="1"/>
        <c:axPos val="b"/>
        <c:numFmt formatCode="0.00" sourceLinked="1"/>
        <c:majorTickMark val="out"/>
        <c:minorTickMark val="none"/>
        <c:tickLblPos val="nextTo"/>
        <c:crossAx val="36546752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44.335940208785985</c:v>
                </c:pt>
                <c:pt idx="1">
                  <c:v>44.320664974433086</c:v>
                </c:pt>
                <c:pt idx="2">
                  <c:v>44.304727218469566</c:v>
                </c:pt>
                <c:pt idx="3">
                  <c:v>44.288100792600147</c:v>
                </c:pt>
                <c:pt idx="4">
                  <c:v>44.270758743577936</c:v>
                </c:pt>
                <c:pt idx="5">
                  <c:v>44.252673308361636</c:v>
                </c:pt>
                <c:pt idx="6">
                  <c:v>44.233815911226387</c:v>
                </c:pt>
                <c:pt idx="7">
                  <c:v>44.214157163014278</c:v>
                </c:pt>
                <c:pt idx="8">
                  <c:v>44.193666862717393</c:v>
                </c:pt>
                <c:pt idx="9">
                  <c:v>44.172314001590266</c:v>
                </c:pt>
                <c:pt idx="10">
                  <c:v>44.150066769995469</c:v>
                </c:pt>
                <c:pt idx="11">
                  <c:v>44.126892567185187</c:v>
                </c:pt>
                <c:pt idx="12">
                  <c:v>44.102758014227646</c:v>
                </c:pt>
                <c:pt idx="13">
                  <c:v>44.077628970283349</c:v>
                </c:pt>
                <c:pt idx="14">
                  <c:v>44.051470552437195</c:v>
                </c:pt>
                <c:pt idx="15">
                  <c:v>44.024247159286965</c:v>
                </c:pt>
                <c:pt idx="16">
                  <c:v>43.995922498482862</c:v>
                </c:pt>
                <c:pt idx="17">
                  <c:v>43.966459618405295</c:v>
                </c:pt>
                <c:pt idx="18">
                  <c:v>43.935820944155004</c:v>
                </c:pt>
                <c:pt idx="19">
                  <c:v>43.903968318017228</c:v>
                </c:pt>
                <c:pt idx="20">
                  <c:v>43.870863044543562</c:v>
                </c:pt>
                <c:pt idx="21">
                  <c:v>43.836465940374481</c:v>
                </c:pt>
                <c:pt idx="22">
                  <c:v>43.800737388904153</c:v>
                </c:pt>
                <c:pt idx="23">
                  <c:v>43.763637399857799</c:v>
                </c:pt>
                <c:pt idx="24">
                  <c:v>43.725125673826817</c:v>
                </c:pt>
                <c:pt idx="25">
                  <c:v>43.685161671768178</c:v>
                </c:pt>
                <c:pt idx="26">
                  <c:v>43.643704689440895</c:v>
                </c:pt>
                <c:pt idx="27">
                  <c:v>43.600713936709525</c:v>
                </c:pt>
                <c:pt idx="28">
                  <c:v>43.556148621603008</c:v>
                </c:pt>
                <c:pt idx="29">
                  <c:v>43.509968038969539</c:v>
                </c:pt>
                <c:pt idx="30">
                  <c:v>43.46213166352107</c:v>
                </c:pt>
                <c:pt idx="31">
                  <c:v>43.412599247007861</c:v>
                </c:pt>
                <c:pt idx="32">
                  <c:v>43.361330919216179</c:v>
                </c:pt>
                <c:pt idx="33">
                  <c:v>43.30828729242279</c:v>
                </c:pt>
                <c:pt idx="34">
                  <c:v>43.253429568893793</c:v>
                </c:pt>
                <c:pt idx="35">
                  <c:v>43.196719650957633</c:v>
                </c:pt>
                <c:pt idx="36">
                  <c:v>43.138120253133323</c:v>
                </c:pt>
                <c:pt idx="37">
                  <c:v>43.077595015745878</c:v>
                </c:pt>
                <c:pt idx="38">
                  <c:v>43.015108619414391</c:v>
                </c:pt>
                <c:pt idx="39">
                  <c:v>42.950626899756784</c:v>
                </c:pt>
                <c:pt idx="40">
                  <c:v>42.884116961618687</c:v>
                </c:pt>
                <c:pt idx="41">
                  <c:v>42.815547292100462</c:v>
                </c:pt>
                <c:pt idx="42">
                  <c:v>42.744887871636656</c:v>
                </c:pt>
                <c:pt idx="43">
                  <c:v>42.672110282358389</c:v>
                </c:pt>
                <c:pt idx="44">
                  <c:v>42.597187812966467</c:v>
                </c:pt>
                <c:pt idx="45">
                  <c:v>42.520095559338138</c:v>
                </c:pt>
                <c:pt idx="46">
                  <c:v>42.440810520101806</c:v>
                </c:pt>
                <c:pt idx="47">
                  <c:v>42.359311686431099</c:v>
                </c:pt>
                <c:pt idx="48">
                  <c:v>42.275580125337278</c:v>
                </c:pt>
                <c:pt idx="49">
                  <c:v>42.189599055777848</c:v>
                </c:pt>
                <c:pt idx="50">
                  <c:v>42.101353916943722</c:v>
                </c:pt>
                <c:pt idx="51">
                  <c:v>42.010832428145591</c:v>
                </c:pt>
                <c:pt idx="52">
                  <c:v>41.918024639781308</c:v>
                </c:pt>
                <c:pt idx="53">
                  <c:v>41.822922974939843</c:v>
                </c:pt>
                <c:pt idx="54">
                  <c:v>41.725522261274797</c:v>
                </c:pt>
                <c:pt idx="55">
                  <c:v>41.625819752863308</c:v>
                </c:pt>
                <c:pt idx="56">
                  <c:v>41.523815141855962</c:v>
                </c:pt>
                <c:pt idx="57">
                  <c:v>41.419510559812068</c:v>
                </c:pt>
                <c:pt idx="58">
                  <c:v>41.312910568709391</c:v>
                </c:pt>
                <c:pt idx="59">
                  <c:v>41.20402214170872</c:v>
                </c:pt>
                <c:pt idx="60">
                  <c:v>41.092854633845519</c:v>
                </c:pt>
                <c:pt idx="61">
                  <c:v>40.97941974291097</c:v>
                </c:pt>
                <c:pt idx="62">
                  <c:v>40.863731460866674</c:v>
                </c:pt>
                <c:pt idx="63">
                  <c:v>40.745806016220889</c:v>
                </c:pt>
                <c:pt idx="64">
                  <c:v>40.62566180786412</c:v>
                </c:pt>
                <c:pt idx="65">
                  <c:v>40.503319330930111</c:v>
                </c:pt>
                <c:pt idx="66">
                  <c:v>40.37880109530434</c:v>
                </c:pt>
                <c:pt idx="67">
                  <c:v>40.25213153745316</c:v>
                </c:pt>
                <c:pt idx="68">
                  <c:v>40.123336926284523</c:v>
                </c:pt>
                <c:pt idx="69">
                  <c:v>39.992445263783274</c:v>
                </c:pt>
                <c:pt idx="70">
                  <c:v>39.859486181183222</c:v>
                </c:pt>
                <c:pt idx="71">
                  <c:v>39.724490831450481</c:v>
                </c:pt>
                <c:pt idx="72">
                  <c:v>39.587491778854101</c:v>
                </c:pt>
                <c:pt idx="73">
                  <c:v>39.448522886392965</c:v>
                </c:pt>
                <c:pt idx="74">
                  <c:v>39.307619201832495</c:v>
                </c:pt>
                <c:pt idx="75">
                  <c:v>39.164816843083855</c:v>
                </c:pt>
                <c:pt idx="76">
                  <c:v>39.020152883625371</c:v>
                </c:pt>
                <c:pt idx="77">
                  <c:v>38.873665238634331</c:v>
                </c:pt>
                <c:pt idx="78">
                  <c:v>38.725392552452647</c:v>
                </c:pt>
                <c:pt idx="79">
                  <c:v>38.575374087968434</c:v>
                </c:pt>
                <c:pt idx="80">
                  <c:v>38.423649618444934</c:v>
                </c:pt>
                <c:pt idx="81">
                  <c:v>38.270259322278534</c:v>
                </c:pt>
                <c:pt idx="82">
                  <c:v>38.115243681115381</c:v>
                </c:pt>
                <c:pt idx="83">
                  <c:v>37.958643381702586</c:v>
                </c:pt>
                <c:pt idx="84">
                  <c:v>37.800499221798226</c:v>
                </c:pt>
                <c:pt idx="85">
                  <c:v>37.640852020410314</c:v>
                </c:pt>
                <c:pt idx="86">
                  <c:v>37.479742532585483</c:v>
                </c:pt>
                <c:pt idx="87">
                  <c:v>37.317211368918386</c:v>
                </c:pt>
                <c:pt idx="88">
                  <c:v>37.153298919905687</c:v>
                </c:pt>
                <c:pt idx="89">
                  <c:v>36.988045285224707</c:v>
                </c:pt>
                <c:pt idx="90">
                  <c:v>36.82149020797619</c:v>
                </c:pt>
                <c:pt idx="91">
                  <c:v>36.653673013890163</c:v>
                </c:pt>
                <c:pt idx="92">
                  <c:v>36.484632555463286</c:v>
                </c:pt>
                <c:pt idx="93">
                  <c:v>36.314407160960336</c:v>
                </c:pt>
                <c:pt idx="94">
                  <c:v>36.143034588187298</c:v>
                </c:pt>
                <c:pt idx="95">
                  <c:v>35.970551982919282</c:v>
                </c:pt>
                <c:pt idx="96">
                  <c:v>35.796995841842723</c:v>
                </c:pt>
                <c:pt idx="97">
                  <c:v>35.622401979856711</c:v>
                </c:pt>
                <c:pt idx="98">
                  <c:v>35.446805501560796</c:v>
                </c:pt>
                <c:pt idx="99">
                  <c:v>35.270240776746</c:v>
                </c:pt>
                <c:pt idx="100">
                  <c:v>35.092741419696772</c:v>
                </c:pt>
                <c:pt idx="101">
                  <c:v>34.914340272103196</c:v>
                </c:pt>
                <c:pt idx="102">
                  <c:v>34.73506938938084</c:v>
                </c:pt>
                <c:pt idx="103">
                  <c:v>34.55496003019099</c:v>
                </c:pt>
                <c:pt idx="104">
                  <c:v>34.374042648955054</c:v>
                </c:pt>
                <c:pt idx="105">
                  <c:v>34.192346891157911</c:v>
                </c:pt>
                <c:pt idx="106">
                  <c:v>34.009901591236876</c:v>
                </c:pt>
                <c:pt idx="107">
                  <c:v>33.826734772857904</c:v>
                </c:pt>
                <c:pt idx="108">
                  <c:v>33.642873651385649</c:v>
                </c:pt>
                <c:pt idx="109">
                  <c:v>33.458344638358668</c:v>
                </c:pt>
                <c:pt idx="110">
                  <c:v>33.273173347789857</c:v>
                </c:pt>
                <c:pt idx="111">
                  <c:v>33.087384604117432</c:v>
                </c:pt>
                <c:pt idx="112">
                  <c:v>32.901002451641276</c:v>
                </c:pt>
                <c:pt idx="113">
                  <c:v>32.714050165285961</c:v>
                </c:pt>
                <c:pt idx="114">
                  <c:v>32.526550262541619</c:v>
                </c:pt>
                <c:pt idx="115">
                  <c:v>32.338524516440536</c:v>
                </c:pt>
                <c:pt idx="116">
                  <c:v>32.149993969438306</c:v>
                </c:pt>
                <c:pt idx="117">
                  <c:v>31.960978948073098</c:v>
                </c:pt>
                <c:pt idx="118">
                  <c:v>31.771499078289121</c:v>
                </c:pt>
                <c:pt idx="119">
                  <c:v>31.58157330131516</c:v>
                </c:pt>
                <c:pt idx="120">
                  <c:v>31.391219889998979</c:v>
                </c:pt>
                <c:pt idx="121">
                  <c:v>31.200456465504722</c:v>
                </c:pt>
                <c:pt idx="122">
                  <c:v>31.009300014289366</c:v>
                </c:pt>
                <c:pt idx="123">
                  <c:v>30.817766905279612</c:v>
                </c:pt>
                <c:pt idx="124">
                  <c:v>30.625872907179708</c:v>
                </c:pt>
                <c:pt idx="125">
                  <c:v>30.43363320584416</c:v>
                </c:pt>
                <c:pt idx="126">
                  <c:v>30.241062421657951</c:v>
                </c:pt>
                <c:pt idx="127">
                  <c:v>30.048174626872619</c:v>
                </c:pt>
                <c:pt idx="128">
                  <c:v>29.854983362849595</c:v>
                </c:pt>
                <c:pt idx="129">
                  <c:v>29.661501657169424</c:v>
                </c:pt>
                <c:pt idx="130">
                  <c:v>29.467742040571277</c:v>
                </c:pt>
                <c:pt idx="131">
                  <c:v>29.273716563687305</c:v>
                </c:pt>
                <c:pt idx="132">
                  <c:v>29.079436813546504</c:v>
                </c:pt>
                <c:pt idx="133">
                  <c:v>28.884913929820762</c:v>
                </c:pt>
                <c:pt idx="134">
                  <c:v>28.690158620793902</c:v>
                </c:pt>
                <c:pt idx="135">
                  <c:v>28.495181179035136</c:v>
                </c:pt>
                <c:pt idx="136">
                  <c:v>28.299991496762459</c:v>
                </c:pt>
                <c:pt idx="137">
                  <c:v>28.104599080883446</c:v>
                </c:pt>
                <c:pt idx="138">
                  <c:v>27.909013067705857</c:v>
                </c:pt>
                <c:pt idx="139">
                  <c:v>27.713242237307696</c:v>
                </c:pt>
                <c:pt idx="140">
                  <c:v>27.517295027565744</c:v>
                </c:pt>
                <c:pt idx="141">
                  <c:v>27.321179547835591</c:v>
                </c:pt>
                <c:pt idx="142">
                  <c:v>27.124903592284987</c:v>
                </c:pt>
                <c:pt idx="143">
                  <c:v>26.928474652878606</c:v>
                </c:pt>
                <c:pt idx="144">
                  <c:v>26.731899932017015</c:v>
                </c:pt>
                <c:pt idx="145">
                  <c:v>26.535186354832089</c:v>
                </c:pt>
                <c:pt idx="146">
                  <c:v>26.338340581142671</c:v>
                </c:pt>
                <c:pt idx="147">
                  <c:v>26.141369017076904</c:v>
                </c:pt>
                <c:pt idx="148">
                  <c:v>25.944277826364953</c:v>
                </c:pt>
                <c:pt idx="149">
                  <c:v>25.747072941310087</c:v>
                </c:pt>
                <c:pt idx="150">
                  <c:v>25.549760073445636</c:v>
                </c:pt>
                <c:pt idx="151">
                  <c:v>25.352344723884663</c:v>
                </c:pt>
                <c:pt idx="152">
                  <c:v>25.154832193371615</c:v>
                </c:pt>
                <c:pt idx="153">
                  <c:v>24.957227592044507</c:v>
                </c:pt>
                <c:pt idx="154">
                  <c:v>24.759535848916975</c:v>
                </c:pt>
                <c:pt idx="155">
                  <c:v>24.561761721089805</c:v>
                </c:pt>
                <c:pt idx="156">
                  <c:v>24.363909802701521</c:v>
                </c:pt>
                <c:pt idx="157">
                  <c:v>24.165984533627991</c:v>
                </c:pt>
                <c:pt idx="158">
                  <c:v>23.96799020794235</c:v>
                </c:pt>
                <c:pt idx="159">
                  <c:v>23.769930982144064</c:v>
                </c:pt>
                <c:pt idx="160">
                  <c:v>23.571810883168482</c:v>
                </c:pt>
                <c:pt idx="161">
                  <c:v>23.373633816187848</c:v>
                </c:pt>
                <c:pt idx="162">
                  <c:v>23.175403572213238</c:v>
                </c:pt>
                <c:pt idx="163">
                  <c:v>22.977123835508934</c:v>
                </c:pt>
                <c:pt idx="164">
                  <c:v>22.778798190830123</c:v>
                </c:pt>
                <c:pt idx="165">
                  <c:v>22.58043013049431</c:v>
                </c:pt>
                <c:pt idx="166">
                  <c:v>22.382023061296017</c:v>
                </c:pt>
                <c:pt idx="167">
                  <c:v>22.18358031127805</c:v>
                </c:pt>
                <c:pt idx="168">
                  <c:v>21.985105136367427</c:v>
                </c:pt>
                <c:pt idx="169">
                  <c:v>21.786600726888121</c:v>
                </c:pt>
                <c:pt idx="170">
                  <c:v>21.588070213960492</c:v>
                </c:pt>
                <c:pt idx="171">
                  <c:v>21.389516675798475</c:v>
                </c:pt>
                <c:pt idx="172">
                  <c:v>21.190943143915121</c:v>
                </c:pt>
                <c:pt idx="173">
                  <c:v>20.992352609245955</c:v>
                </c:pt>
                <c:pt idx="174">
                  <c:v>20.793748028201854</c:v>
                </c:pt>
                <c:pt idx="175">
                  <c:v>20.595132328661517</c:v>
                </c:pt>
                <c:pt idx="176">
                  <c:v>20.396508415913747</c:v>
                </c:pt>
                <c:pt idx="177">
                  <c:v>20.197879178559674</c:v>
                </c:pt>
                <c:pt idx="178">
                  <c:v>19.999247494386516</c:v>
                </c:pt>
                <c:pt idx="179">
                  <c:v>19.800616236221128</c:v>
                </c:pt>
                <c:pt idx="180">
                  <c:v>19.601988277776051</c:v>
                </c:pt>
                <c:pt idx="181">
                  <c:v>19.403366499496901</c:v>
                </c:pt>
                <c:pt idx="182">
                  <c:v>19.204753794421539</c:v>
                </c:pt>
                <c:pt idx="183">
                  <c:v>19.006153074062123</c:v>
                </c:pt>
                <c:pt idx="184">
                  <c:v>18.807567274319581</c:v>
                </c:pt>
                <c:pt idx="185">
                  <c:v>18.608999361441764</c:v>
                </c:pt>
                <c:pt idx="186">
                  <c:v>18.410452338034627</c:v>
                </c:pt>
                <c:pt idx="187">
                  <c:v>18.211929249138102</c:v>
                </c:pt>
                <c:pt idx="188">
                  <c:v>18.013433188375888</c:v>
                </c:pt>
                <c:pt idx="189">
                  <c:v>17.814967304190553</c:v>
                </c:pt>
                <c:pt idx="190">
                  <c:v>17.61653480617457</c:v>
                </c:pt>
                <c:pt idx="191">
                  <c:v>17.418138971506622</c:v>
                </c:pt>
                <c:pt idx="192">
                  <c:v>17.219783151505673</c:v>
                </c:pt>
                <c:pt idx="193">
                  <c:v>17.021470778312029</c:v>
                </c:pt>
                <c:pt idx="194">
                  <c:v>16.823205371706337</c:v>
                </c:pt>
                <c:pt idx="195">
                  <c:v>16.624990546077861</c:v>
                </c:pt>
                <c:pt idx="196">
                  <c:v>16.426830017552241</c:v>
                </c:pt>
                <c:pt idx="197">
                  <c:v>16.228727611289528</c:v>
                </c:pt>
                <c:pt idx="198">
                  <c:v>16.030687268963749</c:v>
                </c:pt>
                <c:pt idx="199">
                  <c:v>15.832713056433864</c:v>
                </c:pt>
                <c:pt idx="200">
                  <c:v>15.634809171617993</c:v>
                </c:pt>
                <c:pt idx="201">
                  <c:v>15.436979952580955</c:v>
                </c:pt>
                <c:pt idx="202">
                  <c:v>15.23922988584548</c:v>
                </c:pt>
                <c:pt idx="203">
                  <c:v>15.04156361493877</c:v>
                </c:pt>
                <c:pt idx="204">
                  <c:v>14.843985949183789</c:v>
                </c:pt>
                <c:pt idx="205">
                  <c:v>14.64650187274593</c:v>
                </c:pt>
                <c:pt idx="206">
                  <c:v>14.449116553945769</c:v>
                </c:pt>
                <c:pt idx="207">
                  <c:v>14.251835354847135</c:v>
                </c:pt>
                <c:pt idx="208">
                  <c:v>14.054663841130123</c:v>
                </c:pt>
                <c:pt idx="209">
                  <c:v>13.857607792259108</c:v>
                </c:pt>
                <c:pt idx="210">
                  <c:v>13.660673211954141</c:v>
                </c:pt>
                <c:pt idx="211">
                  <c:v>13.463866338974048</c:v>
                </c:pt>
                <c:pt idx="212">
                  <c:v>13.267193658220158</c:v>
                </c:pt>
                <c:pt idx="213">
                  <c:v>13.070661912166821</c:v>
                </c:pt>
                <c:pt idx="214">
                  <c:v>12.874278112626463</c:v>
                </c:pt>
                <c:pt idx="215">
                  <c:v>12.678049552854581</c:v>
                </c:pt>
                <c:pt idx="216">
                  <c:v>12.481983820000117</c:v>
                </c:pt>
                <c:pt idx="217">
                  <c:v>12.286088807904349</c:v>
                </c:pt>
                <c:pt idx="218">
                  <c:v>12.090372730252533</c:v>
                </c:pt>
                <c:pt idx="219">
                  <c:v>11.894844134079092</c:v>
                </c:pt>
                <c:pt idx="220">
                  <c:v>11.699511913626603</c:v>
                </c:pt>
                <c:pt idx="221">
                  <c:v>11.504385324557626</c:v>
                </c:pt>
                <c:pt idx="222">
                  <c:v>11.309473998516321</c:v>
                </c:pt>
                <c:pt idx="223">
                  <c:v>11.114787958033986</c:v>
                </c:pt>
                <c:pt idx="224">
                  <c:v>10.920337631773119</c:v>
                </c:pt>
                <c:pt idx="225">
                  <c:v>10.726133870098719</c:v>
                </c:pt>
                <c:pt idx="226">
                  <c:v>10.532187960965897</c:v>
                </c:pt>
                <c:pt idx="227">
                  <c:v>10.338511646108874</c:v>
                </c:pt>
                <c:pt idx="228">
                  <c:v>10.145117137513624</c:v>
                </c:pt>
                <c:pt idx="229">
                  <c:v>9.9520171341519106</c:v>
                </c:pt>
                <c:pt idx="230">
                  <c:v>9.7592248389541361</c:v>
                </c:pt>
                <c:pt idx="231">
                  <c:v>9.5667539759902294</c:v>
                </c:pt>
                <c:pt idx="232">
                  <c:v>9.3746188078270301</c:v>
                </c:pt>
                <c:pt idx="233">
                  <c:v>9.1828341530243165</c:v>
                </c:pt>
                <c:pt idx="234">
                  <c:v>8.9914154037281708</c:v>
                </c:pt>
                <c:pt idx="235">
                  <c:v>8.8003785433130925</c:v>
                </c:pt>
                <c:pt idx="236">
                  <c:v>8.6097401640215292</c:v>
                </c:pt>
                <c:pt idx="237">
                  <c:v>8.4195174845413199</c:v>
                </c:pt>
                <c:pt idx="238">
                  <c:v>8.2297283674566142</c:v>
                </c:pt>
                <c:pt idx="239">
                  <c:v>8.0403913365016653</c:v>
                </c:pt>
                <c:pt idx="240">
                  <c:v>7.8515255935382076</c:v>
                </c:pt>
                <c:pt idx="241">
                  <c:v>7.6631510351724703</c:v>
                </c:pt>
                <c:pt idx="242">
                  <c:v>7.4752882689186162</c:v>
                </c:pt>
                <c:pt idx="243">
                  <c:v>7.2879586288084415</c:v>
                </c:pt>
                <c:pt idx="244">
                  <c:v>7.1011841903395565</c:v>
                </c:pt>
                <c:pt idx="245">
                  <c:v>6.9149877846443832</c:v>
                </c:pt>
                <c:pt idx="246">
                  <c:v>6.7293930117572733</c:v>
                </c:pt>
                <c:pt idx="247">
                  <c:v>6.5444242528449408</c:v>
                </c:pt>
                <c:pt idx="248">
                  <c:v>6.3601066812598015</c:v>
                </c:pt>
                <c:pt idx="249">
                  <c:v>6.1764662722658343</c:v>
                </c:pt>
                <c:pt idx="250">
                  <c:v>5.9935298112791537</c:v>
                </c:pt>
                <c:pt idx="251">
                  <c:v>5.8113249004573921</c:v>
                </c:pt>
                <c:pt idx="252">
                  <c:v>5.6298799634636785</c:v>
                </c:pt>
                <c:pt idx="253">
                  <c:v>5.4492242482246533</c:v>
                </c:pt>
                <c:pt idx="254">
                  <c:v>5.2693878274953674</c:v>
                </c:pt>
                <c:pt idx="255">
                  <c:v>5.0904015970366254</c:v>
                </c:pt>
                <c:pt idx="256">
                  <c:v>4.9122972712092396</c:v>
                </c:pt>
                <c:pt idx="257">
                  <c:v>4.7351073757795561</c:v>
                </c:pt>
                <c:pt idx="258">
                  <c:v>4.5588652377360166</c:v>
                </c:pt>
                <c:pt idx="259">
                  <c:v>4.3836049719092198</c:v>
                </c:pt>
                <c:pt idx="260">
                  <c:v>4.2093614641903656</c:v>
                </c:pt>
                <c:pt idx="261">
                  <c:v>4.0361703511496207</c:v>
                </c:pt>
                <c:pt idx="262">
                  <c:v>3.8640679958534463</c:v>
                </c:pt>
                <c:pt idx="263">
                  <c:v>3.6930914596936977</c:v>
                </c:pt>
                <c:pt idx="264">
                  <c:v>3.5232784700481727</c:v>
                </c:pt>
                <c:pt idx="265">
                  <c:v>3.3546673836031511</c:v>
                </c:pt>
                <c:pt idx="266">
                  <c:v>3.1872971451878191</c:v>
                </c:pt>
                <c:pt idx="267">
                  <c:v>3.0212072419853437</c:v>
                </c:pt>
                <c:pt idx="268">
                  <c:v>2.8564376530094027</c:v>
                </c:pt>
                <c:pt idx="269">
                  <c:v>2.6930287937579704</c:v>
                </c:pt>
                <c:pt idx="270">
                  <c:v>2.5310214559870552</c:v>
                </c:pt>
                <c:pt idx="271">
                  <c:v>2.3704567425768932</c:v>
                </c:pt>
                <c:pt idx="272">
                  <c:v>2.2113759974998466</c:v>
                </c:pt>
                <c:pt idx="273">
                  <c:v>2.0538207309370433</c:v>
                </c:pt>
                <c:pt idx="274">
                  <c:v>1.8978325396320914</c:v>
                </c:pt>
                <c:pt idx="275">
                  <c:v>1.7434530226175253</c:v>
                </c:pt>
                <c:pt idx="276">
                  <c:v>1.5907236924932369</c:v>
                </c:pt>
                <c:pt idx="277">
                  <c:v>1.4396858824882941</c:v>
                </c:pt>
                <c:pt idx="278">
                  <c:v>1.2903806495887573</c:v>
                </c:pt>
                <c:pt idx="279">
                  <c:v>1.1428486740643509</c:v>
                </c:pt>
                <c:pt idx="280">
                  <c:v>0.99713015578421182</c:v>
                </c:pt>
                <c:pt idx="281">
                  <c:v>0.85326470776005425</c:v>
                </c:pt>
                <c:pt idx="282">
                  <c:v>0.71129124741122052</c:v>
                </c:pt>
                <c:pt idx="283">
                  <c:v>0.57124788609454558</c:v>
                </c:pt>
                <c:pt idx="284">
                  <c:v>0.43317181749079608</c:v>
                </c:pt>
                <c:pt idx="285">
                  <c:v>0.2970992054834703</c:v>
                </c:pt>
                <c:pt idx="286">
                  <c:v>0.16306507220620003</c:v>
                </c:pt>
                <c:pt idx="287">
                  <c:v>3.1103186969865419E-2</c:v>
                </c:pt>
                <c:pt idx="288">
                  <c:v>-9.8754043190555849E-2</c:v>
                </c:pt>
                <c:pt idx="289">
                  <c:v>-0.22647568058828738</c:v>
                </c:pt>
                <c:pt idx="290">
                  <c:v>-0.35203236079862804</c:v>
                </c:pt>
                <c:pt idx="291">
                  <c:v>-0.47539639263522671</c:v>
                </c:pt>
                <c:pt idx="292">
                  <c:v>-0.59654185340773802</c:v>
                </c:pt>
                <c:pt idx="293">
                  <c:v>-0.71544467869594286</c:v>
                </c:pt>
                <c:pt idx="294">
                  <c:v>-0.83208274589540399</c:v>
                </c:pt>
                <c:pt idx="295">
                  <c:v>-0.94643595082256338</c:v>
                </c:pt>
                <c:pt idx="296">
                  <c:v>-1.0584862767058425</c:v>
                </c:pt>
                <c:pt idx="297">
                  <c:v>-1.1682178549428888</c:v>
                </c:pt>
                <c:pt idx="298">
                  <c:v>-1.2756170170598422</c:v>
                </c:pt>
                <c:pt idx="299">
                  <c:v>-1.3806723373772514</c:v>
                </c:pt>
                <c:pt idx="300">
                  <c:v>-1.4833746659609939</c:v>
                </c:pt>
                <c:pt idx="301">
                  <c:v>-1.5837171515164064</c:v>
                </c:pt>
                <c:pt idx="302">
                  <c:v>-1.6816952539701144</c:v>
                </c:pt>
                <c:pt idx="303">
                  <c:v>-1.7773067465724155</c:v>
                </c:pt>
                <c:pt idx="304">
                  <c:v>-1.870551707445123</c:v>
                </c:pt>
                <c:pt idx="305">
                  <c:v>-1.9614325005924218</c:v>
                </c:pt>
                <c:pt idx="306">
                  <c:v>-2.0499537464847686</c:v>
                </c:pt>
                <c:pt idx="307">
                  <c:v>-2.1361222824156392</c:v>
                </c:pt>
                <c:pt idx="308">
                  <c:v>-2.219947112919701</c:v>
                </c:pt>
                <c:pt idx="309">
                  <c:v>-2.301439350622307</c:v>
                </c:pt>
                <c:pt idx="310">
                  <c:v>-2.3806121479681401</c:v>
                </c:pt>
                <c:pt idx="311">
                  <c:v>-2.4574806203483943</c:v>
                </c:pt>
                <c:pt idx="312">
                  <c:v>-2.5320617612057772</c:v>
                </c:pt>
                <c:pt idx="313">
                  <c:v>-2.6043743497546985</c:v>
                </c:pt>
                <c:pt idx="314">
                  <c:v>-2.6744388519970603</c:v>
                </c:pt>
                <c:pt idx="315">
                  <c:v>-2.7422773157502318</c:v>
                </c:pt>
                <c:pt idx="316">
                  <c:v>-2.8079132604326045</c:v>
                </c:pt>
                <c:pt idx="317">
                  <c:v>-2.8713715623660905</c:v>
                </c:pt>
                <c:pt idx="318">
                  <c:v>-2.9326783363656395</c:v>
                </c:pt>
                <c:pt idx="319">
                  <c:v>-2.9918608143820196</c:v>
                </c:pt>
                <c:pt idx="320">
                  <c:v>-3.0489472219568436</c:v>
                </c:pt>
                <c:pt idx="321">
                  <c:v>-3.1039666532285715</c:v>
                </c:pt>
                <c:pt idx="322">
                  <c:v>-3.1569489452051043</c:v>
                </c:pt>
                <c:pt idx="323">
                  <c:v>-3.2079245519865642</c:v>
                </c:pt>
                <c:pt idx="324">
                  <c:v>-3.2569244195844593</c:v>
                </c:pt>
                <c:pt idx="325">
                  <c:v>-3.3039798619434588</c:v>
                </c:pt>
                <c:pt idx="326">
                  <c:v>-3.3491224387242231</c:v>
                </c:pt>
                <c:pt idx="327">
                  <c:v>-3.3923838353602953</c:v>
                </c:pt>
                <c:pt idx="328">
                  <c:v>-3.4337957458503969</c:v>
                </c:pt>
                <c:pt idx="329">
                  <c:v>-3.4733897586963791</c:v>
                </c:pt>
                <c:pt idx="330">
                  <c:v>-3.5111972463468488</c:v>
                </c:pt>
                <c:pt idx="331">
                  <c:v>-3.547249258454328</c:v>
                </c:pt>
                <c:pt idx="332">
                  <c:v>-3.5815764192049433</c:v>
                </c:pt>
                <c:pt idx="333">
                  <c:v>-3.6142088289312433</c:v>
                </c:pt>
                <c:pt idx="334">
                  <c:v>-3.6451759701729629</c:v>
                </c:pt>
                <c:pt idx="335">
                  <c:v>-3.6745066183079533</c:v>
                </c:pt>
                <c:pt idx="336">
                  <c:v>-3.702228756834562</c:v>
                </c:pt>
                <c:pt idx="337">
                  <c:v>-3.7283694973515713</c:v>
                </c:pt>
                <c:pt idx="338">
                  <c:v>-3.7529550042468851</c:v>
                </c:pt>
                <c:pt idx="339">
                  <c:v>-3.7760104240779753</c:v>
                </c:pt>
                <c:pt idx="340">
                  <c:v>-3.7975598196006248</c:v>
                </c:pt>
                <c:pt idx="341">
                  <c:v>-3.817626108381011</c:v>
                </c:pt>
                <c:pt idx="342">
                  <c:v>-3.8362310059072446</c:v>
                </c:pt>
                <c:pt idx="343">
                  <c:v>-3.8533949731021755</c:v>
                </c:pt>
                <c:pt idx="344">
                  <c:v>-3.8691371681278963</c:v>
                </c:pt>
                <c:pt idx="345">
                  <c:v>-3.8834754023647324</c:v>
                </c:pt>
                <c:pt idx="346">
                  <c:v>-3.896426100442516</c:v>
                </c:pt>
                <c:pt idx="347">
                  <c:v>-3.9080042642004624</c:v>
                </c:pt>
                <c:pt idx="348">
                  <c:v>-3.9182234404526883</c:v>
                </c:pt>
                <c:pt idx="349">
                  <c:v>-3.9270956924409779</c:v>
                </c:pt>
                <c:pt idx="350">
                  <c:v>-3.9346315748603518</c:v>
                </c:pt>
                <c:pt idx="351">
                  <c:v>-3.9408401123536327</c:v>
                </c:pt>
                <c:pt idx="352">
                  <c:v>-3.9457287813781488</c:v>
                </c:pt>
                <c:pt idx="353">
                  <c:v>-3.9493034953616633</c:v>
                </c:pt>
                <c:pt idx="354">
                  <c:v>-3.9515685930753177</c:v>
                </c:pt>
                <c:pt idx="355">
                  <c:v>-3.9525268301666676</c:v>
                </c:pt>
                <c:pt idx="356">
                  <c:v>-3.9521793738095381</c:v>
                </c:pt>
                <c:pt idx="357">
                  <c:v>-3.9505258004438386</c:v>
                </c:pt>
                <c:pt idx="358">
                  <c:v>-3.9475640965930032</c:v>
                </c:pt>
                <c:pt idx="359">
                  <c:v>-3.9432906627634323</c:v>
                </c:pt>
                <c:pt idx="360">
                  <c:v>-3.937700320447143</c:v>
                </c:pt>
                <c:pt idx="361">
                  <c:v>-3.9307863222609507</c:v>
                </c:pt>
                <c:pt idx="362">
                  <c:v>-3.9225403652754567</c:v>
                </c:pt>
                <c:pt idx="363">
                  <c:v>-3.912952607597374</c:v>
                </c:pt>
                <c:pt idx="364">
                  <c:v>-3.9020116882832183</c:v>
                </c:pt>
                <c:pt idx="365">
                  <c:v>-3.8897047506761</c:v>
                </c:pt>
                <c:pt idx="366">
                  <c:v>-3.87601746926478</c:v>
                </c:pt>
                <c:pt idx="367">
                  <c:v>-3.8609340801764351</c:v>
                </c:pt>
                <c:pt idx="368">
                  <c:v>-3.844437415418037</c:v>
                </c:pt>
                <c:pt idx="369">
                  <c:v>-3.826508940989275</c:v>
                </c:pt>
                <c:pt idx="370">
                  <c:v>-3.8071287989893499</c:v>
                </c:pt>
                <c:pt idx="371">
                  <c:v>-3.7862758538414676</c:v>
                </c:pt>
                <c:pt idx="372">
                  <c:v>-3.7639277427553441</c:v>
                </c:pt>
                <c:pt idx="373">
                  <c:v>-3.7400609305401016</c:v>
                </c:pt>
                <c:pt idx="374">
                  <c:v>-3.7146507688728381</c:v>
                </c:pt>
                <c:pt idx="375">
                  <c:v>-3.6876715601129062</c:v>
                </c:pt>
                <c:pt idx="376">
                  <c:v>-3.6590966257367619</c:v>
                </c:pt>
                <c:pt idx="377">
                  <c:v>-3.6288983794468361</c:v>
                </c:pt>
                <c:pt idx="378">
                  <c:v>-3.5970484049848772</c:v>
                </c:pt>
                <c:pt idx="379">
                  <c:v>-3.5635175386518014</c:v>
                </c:pt>
                <c:pt idx="380">
                  <c:v>-3.5282759565046944</c:v>
                </c:pt>
                <c:pt idx="381">
                  <c:v>-3.4912932661668181</c:v>
                </c:pt>
                <c:pt idx="382">
                  <c:v>-3.4525386031479877</c:v>
                </c:pt>
                <c:pt idx="383">
                  <c:v>-3.4119807315303987</c:v>
                </c:pt>
                <c:pt idx="384">
                  <c:v>-3.3695881488313133</c:v>
                </c:pt>
                <c:pt idx="385">
                  <c:v>-3.3253291948066197</c:v>
                </c:pt>
                <c:pt idx="386">
                  <c:v>-3.2791721639104345</c:v>
                </c:pt>
                <c:pt idx="387">
                  <c:v>-3.2310854210744338</c:v>
                </c:pt>
                <c:pt idx="388">
                  <c:v>-3.1810375204217678</c:v>
                </c:pt>
                <c:pt idx="389">
                  <c:v>-3.1289973264764068</c:v>
                </c:pt>
                <c:pt idx="390">
                  <c:v>-3.0749341373799028</c:v>
                </c:pt>
                <c:pt idx="391">
                  <c:v>-3.0188178095779628</c:v>
                </c:pt>
                <c:pt idx="392">
                  <c:v>-2.9606188833918305</c:v>
                </c:pt>
                <c:pt idx="393">
                  <c:v>-2.9003087088479091</c:v>
                </c:pt>
                <c:pt idx="394">
                  <c:v>-2.8378595710966263</c:v>
                </c:pt>
                <c:pt idx="395">
                  <c:v>-2.7732448147222777</c:v>
                </c:pt>
                <c:pt idx="396">
                  <c:v>-2.706438966211802</c:v>
                </c:pt>
                <c:pt idx="397">
                  <c:v>-2.6374178538341884</c:v>
                </c:pt>
                <c:pt idx="398">
                  <c:v>-2.5661587241659793</c:v>
                </c:pt>
                <c:pt idx="399">
                  <c:v>-2.4926403544935303</c:v>
                </c:pt>
                <c:pt idx="400">
                  <c:v>-2.4168431603261595</c:v>
                </c:pt>
                <c:pt idx="401">
                  <c:v>-2.3387492972674511</c:v>
                </c:pt>
                <c:pt idx="402">
                  <c:v>-2.2583427565137191</c:v>
                </c:pt>
                <c:pt idx="403">
                  <c:v>-2.1756094532801482</c:v>
                </c:pt>
                <c:pt idx="404">
                  <c:v>-2.0905373074967502</c:v>
                </c:pt>
                <c:pt idx="405">
                  <c:v>-2.003116316166162</c:v>
                </c:pt>
                <c:pt idx="406">
                  <c:v>-1.9133386168356519</c:v>
                </c:pt>
                <c:pt idx="407">
                  <c:v>-1.8211985416993202</c:v>
                </c:pt>
                <c:pt idx="408">
                  <c:v>-1.7266926619255489</c:v>
                </c:pt>
                <c:pt idx="409">
                  <c:v>-1.6298198218805906</c:v>
                </c:pt>
                <c:pt idx="410">
                  <c:v>-1.5305811630074064</c:v>
                </c:pt>
                <c:pt idx="411">
                  <c:v>-1.4289801372074973</c:v>
                </c:pt>
                <c:pt idx="412">
                  <c:v>-1.3250225096637238</c:v>
                </c:pt>
                <c:pt idx="413">
                  <c:v>-1.2187163511370289</c:v>
                </c:pt>
                <c:pt idx="414">
                  <c:v>-1.1100720198605722</c:v>
                </c:pt>
                <c:pt idx="415">
                  <c:v>-0.99910213324627628</c:v>
                </c:pt>
                <c:pt idx="416">
                  <c:v>-0.88582152970538564</c:v>
                </c:pt>
                <c:pt idx="417">
                  <c:v>-0.77024722096749054</c:v>
                </c:pt>
                <c:pt idx="418">
                  <c:v>-0.65239833536192571</c:v>
                </c:pt>
                <c:pt idx="419">
                  <c:v>-0.53229605259060153</c:v>
                </c:pt>
                <c:pt idx="420">
                  <c:v>-0.40996353059112289</c:v>
                </c:pt>
                <c:pt idx="421">
                  <c:v>-0.28542582513646436</c:v>
                </c:pt>
                <c:pt idx="422">
                  <c:v>-0.15870980286881806</c:v>
                </c:pt>
                <c:pt idx="423">
                  <c:v>-2.9844048495583645E-2</c:v>
                </c:pt>
                <c:pt idx="424">
                  <c:v>0.10114123309263223</c:v>
                </c:pt>
                <c:pt idx="425">
                  <c:v>0.23421431900977557</c:v>
                </c:pt>
                <c:pt idx="426">
                  <c:v>0.36934207408616415</c:v>
                </c:pt>
                <c:pt idx="427">
                  <c:v>0.50649005932440427</c:v>
                </c:pt>
                <c:pt idx="428">
                  <c:v>0.64562264232944555</c:v>
                </c:pt>
                <c:pt idx="429">
                  <c:v>0.78670310896410323</c:v>
                </c:pt>
                <c:pt idx="430">
                  <c:v>0.92969377550146759</c:v>
                </c:pt>
                <c:pt idx="431">
                  <c:v>1.0745561005839892</c:v>
                </c:pt>
                <c:pt idx="432">
                  <c:v>1.2212507963313126</c:v>
                </c:pt>
                <c:pt idx="433">
                  <c:v>1.3697379379866668</c:v>
                </c:pt>
                <c:pt idx="434">
                  <c:v>1.5199770715335303</c:v>
                </c:pt>
                <c:pt idx="435">
                  <c:v>1.6719273187660511</c:v>
                </c:pt>
                <c:pt idx="436">
                  <c:v>1.8255474793496647</c:v>
                </c:pt>
                <c:pt idx="437">
                  <c:v>1.9807961294568104</c:v>
                </c:pt>
                <c:pt idx="438">
                  <c:v>2.1376317166200494</c:v>
                </c:pt>
                <c:pt idx="439">
                  <c:v>2.296012650495808</c:v>
                </c:pt>
                <c:pt idx="440">
                  <c:v>2.4558973892842775</c:v>
                </c:pt>
                <c:pt idx="441">
                  <c:v>2.6172445216013167</c:v>
                </c:pt>
                <c:pt idx="442">
                  <c:v>2.7800128436470266</c:v>
                </c:pt>
                <c:pt idx="443">
                  <c:v>2.9441614315614091</c:v>
                </c:pt>
                <c:pt idx="444">
                  <c:v>3.1096497089003345</c:v>
                </c:pt>
                <c:pt idx="445">
                  <c:v>3.2764375092068985</c:v>
                </c:pt>
                <c:pt idx="446">
                  <c:v>3.4444851336862254</c:v>
                </c:pt>
                <c:pt idx="447">
                  <c:v>3.6137534040310024</c:v>
                </c:pt>
                <c:pt idx="448">
                  <c:v>3.7842037104695505</c:v>
                </c:pt>
                <c:pt idx="449">
                  <c:v>3.9557980551383833</c:v>
                </c:pt>
                <c:pt idx="450">
                  <c:v>4.1284990909039134</c:v>
                </c:pt>
                <c:pt idx="451">
                  <c:v>4.3022701557757506</c:v>
                </c:pt>
                <c:pt idx="452">
                  <c:v>4.4770753030748969</c:v>
                </c:pt>
                <c:pt idx="453">
                  <c:v>4.6528793275295079</c:v>
                </c:pt>
                <c:pt idx="454">
                  <c:v>4.8296477874854213</c:v>
                </c:pt>
                <c:pt idx="455">
                  <c:v>5.0073470234252735</c:v>
                </c:pt>
                <c:pt idx="456">
                  <c:v>5.1859441729948959</c:v>
                </c:pt>
                <c:pt idx="457">
                  <c:v>5.365407182742632</c:v>
                </c:pt>
                <c:pt idx="458">
                  <c:v>5.54570481677567</c:v>
                </c:pt>
                <c:pt idx="459">
                  <c:v>5.7268066625379133</c:v>
                </c:pt>
                <c:pt idx="460">
                  <c:v>5.9086831339140513</c:v>
                </c:pt>
                <c:pt idx="461">
                  <c:v>6.0913054718592976</c:v>
                </c:pt>
                <c:pt idx="462">
                  <c:v>6.2746457427502449</c:v>
                </c:pt>
                <c:pt idx="463">
                  <c:v>6.4586768346482195</c:v>
                </c:pt>
                <c:pt idx="464">
                  <c:v>6.6433724516590384</c:v>
                </c:pt>
                <c:pt idx="465">
                  <c:v>6.8287071065656519</c:v>
                </c:pt>
                <c:pt idx="466">
                  <c:v>7.0146561119056363</c:v>
                </c:pt>
                <c:pt idx="467">
                  <c:v>7.2011955696534633</c:v>
                </c:pt>
                <c:pt idx="468">
                  <c:v>7.388302359662533</c:v>
                </c:pt>
                <c:pt idx="469">
                  <c:v>7.575954127013854</c:v>
                </c:pt>
                <c:pt idx="470">
                  <c:v>7.7641292684058083</c:v>
                </c:pt>
                <c:pt idx="471">
                  <c:v>7.9528069177167442</c:v>
                </c:pt>
                <c:pt idx="472">
                  <c:v>8.1419669308593292</c:v>
                </c:pt>
                <c:pt idx="473">
                  <c:v>8.3315898700393749</c:v>
                </c:pt>
                <c:pt idx="474">
                  <c:v>8.5216569875236878</c:v>
                </c:pt>
                <c:pt idx="475">
                  <c:v>8.7121502090135561</c:v>
                </c:pt>
                <c:pt idx="476">
                  <c:v>8.903052116712276</c:v>
                </c:pt>
                <c:pt idx="477">
                  <c:v>9.0943459321689577</c:v>
                </c:pt>
                <c:pt idx="478">
                  <c:v>9.2860154989738248</c:v>
                </c:pt>
                <c:pt idx="479">
                  <c:v>9.4780452653715894</c:v>
                </c:pt>
                <c:pt idx="480">
                  <c:v>9.6704202668571444</c:v>
                </c:pt>
                <c:pt idx="481">
                  <c:v>9.8631261088070872</c:v>
                </c:pt>
                <c:pt idx="482">
                  <c:v>10.056148949199287</c:v>
                </c:pt>
                <c:pt idx="483">
                  <c:v>10.249475481464149</c:v>
                </c:pt>
                <c:pt idx="484">
                  <c:v>10.443092917508594</c:v>
                </c:pt>
                <c:pt idx="485">
                  <c:v>10.636988970947714</c:v>
                </c:pt>
                <c:pt idx="486">
                  <c:v>10.831151840575441</c:v>
                </c:pt>
                <c:pt idx="487">
                  <c:v>11.025570194101512</c:v>
                </c:pt>
                <c:pt idx="488">
                  <c:v>11.220233152177723</c:v>
                </c:pt>
                <c:pt idx="489">
                  <c:v>11.415130272734196</c:v>
                </c:pt>
                <c:pt idx="490">
                  <c:v>11.610251535642533</c:v>
                </c:pt>
                <c:pt idx="491">
                  <c:v>11.805587327719111</c:v>
                </c:pt>
                <c:pt idx="492">
                  <c:v>12.001128428081131</c:v>
                </c:pt>
                <c:pt idx="493">
                  <c:v>12.196865993863728</c:v>
                </c:pt>
                <c:pt idx="494">
                  <c:v>12.39279154630491</c:v>
                </c:pt>
                <c:pt idx="495">
                  <c:v>12.588896957204136</c:v>
                </c:pt>
                <c:pt idx="496">
                  <c:v>12.785174435756225</c:v>
                </c:pt>
                <c:pt idx="497">
                  <c:v>12.981616515763648</c:v>
                </c:pt>
                <c:pt idx="498">
                  <c:v>13.178216043225934</c:v>
                </c:pt>
                <c:pt idx="499">
                  <c:v>13.374966164305992</c:v>
                </c:pt>
                <c:pt idx="500">
                  <c:v>13.571860313670104</c:v>
                </c:pt>
                <c:pt idx="501">
                  <c:v>13.768892203199218</c:v>
                </c:pt>
                <c:pt idx="502">
                  <c:v>13.966055811066733</c:v>
                </c:pt>
                <c:pt idx="503">
                  <c:v>14.163345371177325</c:v>
                </c:pt>
                <c:pt idx="504">
                  <c:v>14.36075536296228</c:v>
                </c:pt>
                <c:pt idx="505">
                  <c:v>14.558280501524273</c:v>
                </c:pt>
                <c:pt idx="506">
                  <c:v>14.755915728124631</c:v>
                </c:pt>
                <c:pt idx="507">
                  <c:v>14.953656201007275</c:v>
                </c:pt>
                <c:pt idx="508">
                  <c:v>15.151497286549944</c:v>
                </c:pt>
                <c:pt idx="509">
                  <c:v>15.349434550736561</c:v>
                </c:pt>
                <c:pt idx="510">
                  <c:v>15.547463750942253</c:v>
                </c:pt>
                <c:pt idx="511">
                  <c:v>15.745580828021994</c:v>
                </c:pt>
                <c:pt idx="512">
                  <c:v>15.943781898696601</c:v>
                </c:pt>
                <c:pt idx="513">
                  <c:v>16.142063248225458</c:v>
                </c:pt>
                <c:pt idx="514">
                  <c:v>16.340421323359749</c:v>
                </c:pt>
                <c:pt idx="515">
                  <c:v>16.538852725566048</c:v>
                </c:pt>
                <c:pt idx="516">
                  <c:v>16.737354204513093</c:v>
                </c:pt>
                <c:pt idx="517">
                  <c:v>16.935922651813605</c:v>
                </c:pt>
                <c:pt idx="518">
                  <c:v>17.13455509501118</c:v>
                </c:pt>
                <c:pt idx="519">
                  <c:v>17.333248691806872</c:v>
                </c:pt>
                <c:pt idx="520">
                  <c:v>17.532000724515328</c:v>
                </c:pt>
                <c:pt idx="521">
                  <c:v>17.730808594743664</c:v>
                </c:pt>
                <c:pt idx="522">
                  <c:v>17.929669818284204</c:v>
                </c:pt>
                <c:pt idx="523">
                  <c:v>18.128582020216054</c:v>
                </c:pt>
                <c:pt idx="524">
                  <c:v>18.327542930205226</c:v>
                </c:pt>
                <c:pt idx="525">
                  <c:v>18.526550377997417</c:v>
                </c:pt>
                <c:pt idx="526">
                  <c:v>18.725602289096738</c:v>
                </c:pt>
                <c:pt idx="527">
                  <c:v>18.924696680623324</c:v>
                </c:pt>
                <c:pt idx="528">
                  <c:v>19.123831657341523</c:v>
                </c:pt>
                <c:pt idx="529">
                  <c:v>19.323005407855931</c:v>
                </c:pt>
                <c:pt idx="530">
                  <c:v>19.522216200964106</c:v>
                </c:pt>
                <c:pt idx="531">
                  <c:v>19.721462382164479</c:v>
                </c:pt>
                <c:pt idx="532">
                  <c:v>19.92074237030938</c:v>
                </c:pt>
                <c:pt idx="533">
                  <c:v>20.120054654401368</c:v>
                </c:pt>
                <c:pt idx="534">
                  <c:v>20.319397790524096</c:v>
                </c:pt>
                <c:pt idx="535">
                  <c:v>20.518770398903683</c:v>
                </c:pt>
                <c:pt idx="536">
                  <c:v>20.718171161096045</c:v>
                </c:pt>
                <c:pt idx="537">
                  <c:v>20.917598817293804</c:v>
                </c:pt>
                <c:pt idx="538">
                  <c:v>21.117052163748365</c:v>
                </c:pt>
                <c:pt idx="539">
                  <c:v>21.316530050303562</c:v>
                </c:pt>
                <c:pt idx="540">
                  <c:v>21.516031378034143</c:v>
                </c:pt>
                <c:pt idx="541">
                  <c:v>21.715555096987202</c:v>
                </c:pt>
              </c:numCache>
            </c:numRef>
          </c:yVal>
          <c:smooth val="1"/>
          <c:extLst>
            <c:ext xmlns:c16="http://schemas.microsoft.com/office/drawing/2014/chart" uri="{C3380CC4-5D6E-409C-BE32-E72D297353CC}">
              <c16:uniqueId val="{00000000-F7C0-4EEE-87E3-EE720F12A204}"/>
            </c:ext>
          </c:extLst>
        </c:ser>
        <c:dLbls>
          <c:showLegendKey val="0"/>
          <c:showVal val="0"/>
          <c:showCatName val="0"/>
          <c:showSerName val="0"/>
          <c:showPercent val="0"/>
          <c:showBubbleSize val="0"/>
        </c:dLbls>
        <c:axId val="555304064"/>
        <c:axId val="55530598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-15.817344224938559</c:v>
                </c:pt>
                <c:pt idx="1">
                  <c:v>-16.166549586444212</c:v>
                </c:pt>
                <c:pt idx="2">
                  <c:v>-16.522602886534312</c:v>
                </c:pt>
                <c:pt idx="3">
                  <c:v>-16.885581735871764</c:v>
                </c:pt>
                <c:pt idx="4">
                  <c:v>-17.255560799232015</c:v>
                </c:pt>
                <c:pt idx="5">
                  <c:v>-17.63261150168745</c:v>
                </c:pt>
                <c:pt idx="6">
                  <c:v>-18.016801722838025</c:v>
                </c:pt>
                <c:pt idx="7">
                  <c:v>-18.408195479352255</c:v>
                </c:pt>
                <c:pt idx="8">
                  <c:v>-18.806852596182619</c:v>
                </c:pt>
                <c:pt idx="9">
                  <c:v>-19.21282836692609</c:v>
                </c:pt>
                <c:pt idx="10">
                  <c:v>-19.626173203913201</c:v>
                </c:pt>
                <c:pt idx="11">
                  <c:v>-20.046932278740258</c:v>
                </c:pt>
                <c:pt idx="12">
                  <c:v>-20.475145154080892</c:v>
                </c:pt>
                <c:pt idx="13">
                  <c:v>-20.910845407765375</c:v>
                </c:pt>
                <c:pt idx="14">
                  <c:v>-21.354060250252818</c:v>
                </c:pt>
                <c:pt idx="15">
                  <c:v>-21.804810136783171</c:v>
                </c:pt>
                <c:pt idx="16">
                  <c:v>-22.263108375650663</c:v>
                </c:pt>
                <c:pt idx="17">
                  <c:v>-22.728960734205575</c:v>
                </c:pt>
                <c:pt idx="18">
                  <c:v>-23.202365044360853</c:v>
                </c:pt>
                <c:pt idx="19">
                  <c:v>-23.683310809541172</c:v>
                </c:pt>
                <c:pt idx="20">
                  <c:v>-24.17177881518797</c:v>
                </c:pt>
                <c:pt idx="21">
                  <c:v>-24.667740745093099</c:v>
                </c:pt>
                <c:pt idx="22">
                  <c:v>-25.171158805992935</c:v>
                </c:pt>
                <c:pt idx="23">
                  <c:v>-25.681985363013013</c:v>
                </c:pt>
                <c:pt idx="24">
                  <c:v>-26.20016258868451</c:v>
                </c:pt>
                <c:pt idx="25">
                  <c:v>-26.725622128392921</c:v>
                </c:pt>
                <c:pt idx="26">
                  <c:v>-27.258284785218489</c:v>
                </c:pt>
                <c:pt idx="27">
                  <c:v>-27.798060227230362</c:v>
                </c:pt>
                <c:pt idx="28">
                  <c:v>-28.344846720353729</c:v>
                </c:pt>
                <c:pt idx="29">
                  <c:v>-28.898530889978247</c:v>
                </c:pt>
                <c:pt idx="30">
                  <c:v>-29.458987514480281</c:v>
                </c:pt>
                <c:pt idx="31">
                  <c:v>-30.026079353817092</c:v>
                </c:pt>
                <c:pt idx="32">
                  <c:v>-30.599657016281682</c:v>
                </c:pt>
                <c:pt idx="33">
                  <c:v>-31.179558866426959</c:v>
                </c:pt>
                <c:pt idx="34">
                  <c:v>-31.7656109770131</c:v>
                </c:pt>
                <c:pt idx="35">
                  <c:v>-32.357627127666966</c:v>
                </c:pt>
                <c:pt idx="36">
                  <c:v>-32.955408852714228</c:v>
                </c:pt>
                <c:pt idx="37">
                  <c:v>-33.558745540378048</c:v>
                </c:pt>
                <c:pt idx="38">
                  <c:v>-34.167414585236685</c:v>
                </c:pt>
                <c:pt idx="39">
                  <c:v>-34.781181595471558</c:v>
                </c:pt>
                <c:pt idx="40">
                  <c:v>-35.399800656057188</c:v>
                </c:pt>
                <c:pt idx="41">
                  <c:v>-36.023014648617178</c:v>
                </c:pt>
                <c:pt idx="42">
                  <c:v>-36.650555628200962</c:v>
                </c:pt>
                <c:pt idx="43">
                  <c:v>-37.28214525676627</c:v>
                </c:pt>
                <c:pt idx="44">
                  <c:v>-37.917495292629773</c:v>
                </c:pt>
                <c:pt idx="45">
                  <c:v>-38.556308134632083</c:v>
                </c:pt>
                <c:pt idx="46">
                  <c:v>-39.198277419229029</c:v>
                </c:pt>
                <c:pt idx="47">
                  <c:v>-39.843088668183846</c:v>
                </c:pt>
                <c:pt idx="48">
                  <c:v>-40.490419984020626</c:v>
                </c:pt>
                <c:pt idx="49">
                  <c:v>-41.13994278987402</c:v>
                </c:pt>
                <c:pt idx="50">
                  <c:v>-41.791322609900611</c:v>
                </c:pt>
                <c:pt idx="51">
                  <c:v>-42.444219885951966</c:v>
                </c:pt>
                <c:pt idx="52">
                  <c:v>-43.098290825804071</c:v>
                </c:pt>
                <c:pt idx="53">
                  <c:v>-43.753188277873697</c:v>
                </c:pt>
                <c:pt idx="54">
                  <c:v>-44.408562627035543</c:v>
                </c:pt>
                <c:pt idx="55">
                  <c:v>-45.064062705914324</c:v>
                </c:pt>
                <c:pt idx="56">
                  <c:v>-45.719336715832867</c:v>
                </c:pt>
                <c:pt idx="57">
                  <c:v>-46.374033151488959</c:v>
                </c:pt>
                <c:pt idx="58">
                  <c:v>-47.027801723380783</c:v>
                </c:pt>
                <c:pt idx="59">
                  <c:v>-47.68029427203345</c:v>
                </c:pt>
                <c:pt idx="60">
                  <c:v>-48.331165668178656</c:v>
                </c:pt>
                <c:pt idx="61">
                  <c:v>-48.980074693194339</c:v>
                </c:pt>
                <c:pt idx="62">
                  <c:v>-49.626684894362654</c:v>
                </c:pt>
                <c:pt idx="63">
                  <c:v>-50.270665409783632</c:v>
                </c:pt>
                <c:pt idx="64">
                  <c:v>-50.911691758139774</c:v>
                </c:pt>
                <c:pt idx="65">
                  <c:v>-51.549446588908275</c:v>
                </c:pt>
                <c:pt idx="66">
                  <c:v>-52.18362038905903</c:v>
                </c:pt>
                <c:pt idx="67">
                  <c:v>-52.813912142752713</c:v>
                </c:pt>
                <c:pt idx="68">
                  <c:v>-53.440029941061177</c:v>
                </c:pt>
                <c:pt idx="69">
                  <c:v>-54.061691539250717</c:v>
                </c:pt>
                <c:pt idx="70">
                  <c:v>-54.678624859705444</c:v>
                </c:pt>
                <c:pt idx="71">
                  <c:v>-55.290568439094521</c:v>
                </c:pt>
                <c:pt idx="72">
                  <c:v>-55.897271818920579</c:v>
                </c:pt>
                <c:pt idx="73">
                  <c:v>-56.49849587909582</c:v>
                </c:pt>
                <c:pt idx="74">
                  <c:v>-57.094013114686049</c:v>
                </c:pt>
                <c:pt idx="75">
                  <c:v>-57.683607856427592</c:v>
                </c:pt>
                <c:pt idx="76">
                  <c:v>-58.267076436061096</c:v>
                </c:pt>
                <c:pt idx="77">
                  <c:v>-58.844227297920902</c:v>
                </c:pt>
                <c:pt idx="78">
                  <c:v>-59.414881058581209</c:v>
                </c:pt>
                <c:pt idx="79">
                  <c:v>-59.978870516682015</c:v>
                </c:pt>
                <c:pt idx="80">
                  <c:v>-60.536040615327856</c:v>
                </c:pt>
                <c:pt idx="81">
                  <c:v>-61.086248359692917</c:v>
                </c:pt>
                <c:pt idx="82">
                  <c:v>-61.629362692651483</c:v>
                </c:pt>
                <c:pt idx="83">
                  <c:v>-62.165264331400721</c:v>
                </c:pt>
                <c:pt idx="84">
                  <c:v>-62.693845568151104</c:v>
                </c:pt>
                <c:pt idx="85">
                  <c:v>-63.215010038023863</c:v>
                </c:pt>
                <c:pt idx="86">
                  <c:v>-63.728672457331456</c:v>
                </c:pt>
                <c:pt idx="87">
                  <c:v>-64.23475833540715</c:v>
                </c:pt>
                <c:pt idx="88">
                  <c:v>-64.733203663122481</c:v>
                </c:pt>
                <c:pt idx="89">
                  <c:v>-65.223954581166609</c:v>
                </c:pt>
                <c:pt idx="90">
                  <c:v>-65.706967031076942</c:v>
                </c:pt>
                <c:pt idx="91">
                  <c:v>-66.182206391906803</c:v>
                </c:pt>
                <c:pt idx="92">
                  <c:v>-66.649647105287428</c:v>
                </c:pt>
                <c:pt idx="93">
                  <c:v>-67.10927229150812</c:v>
                </c:pt>
                <c:pt idx="94">
                  <c:v>-67.56107335908716</c:v>
                </c:pt>
                <c:pt idx="95">
                  <c:v>-68.005049610145804</c:v>
                </c:pt>
                <c:pt idx="96">
                  <c:v>-68.441207843739249</c:v>
                </c:pt>
                <c:pt idx="97">
                  <c:v>-68.869561959125946</c:v>
                </c:pt>
                <c:pt idx="98">
                  <c:v>-69.29013256079287</c:v>
                </c:pt>
                <c:pt idx="99">
                  <c:v>-69.702946566884052</c:v>
                </c:pt>
                <c:pt idx="100">
                  <c:v>-70.108036822515757</c:v>
                </c:pt>
                <c:pt idx="101">
                  <c:v>-70.505441719302553</c:v>
                </c:pt>
                <c:pt idx="102">
                  <c:v>-70.895204822259956</c:v>
                </c:pt>
                <c:pt idx="103">
                  <c:v>-71.277374505104021</c:v>
                </c:pt>
                <c:pt idx="104">
                  <c:v>-71.652003594820812</c:v>
                </c:pt>
                <c:pt idx="105">
                  <c:v>-72.019149026250574</c:v>
                </c:pt>
                <c:pt idx="106">
                  <c:v>-72.378871507299962</c:v>
                </c:pt>
                <c:pt idx="107">
                  <c:v>-72.731235195280448</c:v>
                </c:pt>
                <c:pt idx="108">
                  <c:v>-73.076307384761506</c:v>
                </c:pt>
                <c:pt idx="109">
                  <c:v>-73.414158207226308</c:v>
                </c:pt>
                <c:pt idx="110">
                  <c:v>-73.744860342724735</c:v>
                </c:pt>
                <c:pt idx="111">
                  <c:v>-74.068488743638284</c:v>
                </c:pt>
                <c:pt idx="112">
                  <c:v>-74.385120370589703</c:v>
                </c:pt>
                <c:pt idx="113">
                  <c:v>-74.694833940470801</c:v>
                </c:pt>
                <c:pt idx="114">
                  <c:v>-74.997709686493096</c:v>
                </c:pt>
                <c:pt idx="115">
                  <c:v>-75.29382913012013</c:v>
                </c:pt>
                <c:pt idx="116">
                  <c:v>-75.583274864689628</c:v>
                </c:pt>
                <c:pt idx="117">
                  <c:v>-75.866130350495126</c:v>
                </c:pt>
                <c:pt idx="118">
                  <c:v>-76.142479721062614</c:v>
                </c:pt>
                <c:pt idx="119">
                  <c:v>-76.412407600328564</c:v>
                </c:pt>
                <c:pt idx="120">
                  <c:v>-76.675998930402471</c:v>
                </c:pt>
                <c:pt idx="121">
                  <c:v>-76.933338809577094</c:v>
                </c:pt>
                <c:pt idx="122">
                  <c:v>-77.184512340234932</c:v>
                </c:pt>
                <c:pt idx="123">
                  <c:v>-77.429604486289278</c:v>
                </c:pt>
                <c:pt idx="124">
                  <c:v>-77.668699939787601</c:v>
                </c:pt>
                <c:pt idx="125">
                  <c:v>-77.90188299630266</c:v>
                </c:pt>
                <c:pt idx="126">
                  <c:v>-78.129237438734776</c:v>
                </c:pt>
                <c:pt idx="127">
                  <c:v>-78.350846429144653</c:v>
                </c:pt>
                <c:pt idx="128">
                  <c:v>-78.566792408245163</c:v>
                </c:pt>
                <c:pt idx="129">
                  <c:v>-78.77715700217901</c:v>
                </c:pt>
                <c:pt idx="130">
                  <c:v>-78.982020936216259</c:v>
                </c:pt>
                <c:pt idx="131">
                  <c:v>-79.181463955014848</c:v>
                </c:pt>
                <c:pt idx="132">
                  <c:v>-79.375564749092092</c:v>
                </c:pt>
                <c:pt idx="133">
                  <c:v>-79.564400887167054</c:v>
                </c:pt>
                <c:pt idx="134">
                  <c:v>-79.748048754040127</c:v>
                </c:pt>
                <c:pt idx="135">
                  <c:v>-79.92658349369043</c:v>
                </c:pt>
                <c:pt idx="136">
                  <c:v>-80.100078957279038</c:v>
                </c:pt>
                <c:pt idx="137">
                  <c:v>-80.268607655759055</c:v>
                </c:pt>
                <c:pt idx="138">
                  <c:v>-80.432240716803761</c:v>
                </c:pt>
                <c:pt idx="139">
                  <c:v>-80.591047845777368</c:v>
                </c:pt>
                <c:pt idx="140">
                  <c:v>-80.745097290481652</c:v>
                </c:pt>
                <c:pt idx="141">
                  <c:v>-80.894455809426006</c:v>
                </c:pt>
                <c:pt idx="142">
                  <c:v>-81.039188643377841</c:v>
                </c:pt>
                <c:pt idx="143">
                  <c:v>-81.179359489962678</c:v>
                </c:pt>
                <c:pt idx="144">
                  <c:v>-81.315030481093842</c:v>
                </c:pt>
                <c:pt idx="145">
                  <c:v>-81.446262163022695</c:v>
                </c:pt>
                <c:pt idx="146">
                  <c:v>-81.573113478810271</c:v>
                </c:pt>
                <c:pt idx="147">
                  <c:v>-81.695641753033058</c:v>
                </c:pt>
                <c:pt idx="148">
                  <c:v>-81.813902678543627</c:v>
                </c:pt>
                <c:pt idx="149">
                  <c:v>-81.927950305117861</c:v>
                </c:pt>
                <c:pt idx="150">
                  <c:v>-82.037837029829603</c:v>
                </c:pt>
                <c:pt idx="151">
                  <c:v>-82.143613589002072</c:v>
                </c:pt>
                <c:pt idx="152">
                  <c:v>-82.245329051594496</c:v>
                </c:pt>
                <c:pt idx="153">
                  <c:v>-82.343030813891176</c:v>
                </c:pt>
                <c:pt idx="154">
                  <c:v>-82.436764595366526</c:v>
                </c:pt>
                <c:pt idx="155">
                  <c:v>-82.526574435609589</c:v>
                </c:pt>
                <c:pt idx="156">
                  <c:v>-82.612502692196372</c:v>
                </c:pt>
                <c:pt idx="157">
                  <c:v>-82.694590039408439</c:v>
                </c:pt>
                <c:pt idx="158">
                  <c:v>-82.772875467699066</c:v>
                </c:pt>
                <c:pt idx="159">
                  <c:v>-82.847396283817815</c:v>
                </c:pt>
                <c:pt idx="160">
                  <c:v>-82.918188111510077</c:v>
                </c:pt>
                <c:pt idx="161">
                  <c:v>-82.985284892710823</c:v>
                </c:pt>
                <c:pt idx="162">
                  <c:v>-83.048718889162615</c:v>
                </c:pt>
                <c:pt idx="163">
                  <c:v>-83.108520684388509</c:v>
                </c:pt>
                <c:pt idx="164">
                  <c:v>-83.164719185958106</c:v>
                </c:pt>
                <c:pt idx="165">
                  <c:v>-83.217341627989072</c:v>
                </c:pt>
                <c:pt idx="166">
                  <c:v>-83.266413573831031</c:v>
                </c:pt>
                <c:pt idx="167">
                  <c:v>-83.311958918883818</c:v>
                </c:pt>
                <c:pt idx="168">
                  <c:v>-83.353999893505019</c:v>
                </c:pt>
                <c:pt idx="169">
                  <c:v>-83.392557065966969</c:v>
                </c:pt>
                <c:pt idx="170">
                  <c:v>-83.427649345426843</c:v>
                </c:pt>
                <c:pt idx="171">
                  <c:v>-83.459293984877363</c:v>
                </c:pt>
                <c:pt idx="172">
                  <c:v>-83.487506584048717</c:v>
                </c:pt>
                <c:pt idx="173">
                  <c:v>-83.512301092236171</c:v>
                </c:pt>
                <c:pt idx="174">
                  <c:v>-83.533689811032474</c:v>
                </c:pt>
                <c:pt idx="175">
                  <c:v>-83.551683396943901</c:v>
                </c:pt>
                <c:pt idx="176">
                  <c:v>-83.566290863876802</c:v>
                </c:pt>
                <c:pt idx="177">
                  <c:v>-83.577519585480545</c:v>
                </c:pt>
                <c:pt idx="178">
                  <c:v>-83.585375297338203</c:v>
                </c:pt>
                <c:pt idx="179">
                  <c:v>-83.589862098998211</c:v>
                </c:pt>
                <c:pt idx="180">
                  <c:v>-83.590982455843857</c:v>
                </c:pt>
                <c:pt idx="181">
                  <c:v>-83.588737200800807</c:v>
                </c:pt>
                <c:pt idx="182">
                  <c:v>-83.583125535883966</c:v>
                </c:pt>
                <c:pt idx="183">
                  <c:v>-83.574145033591023</c:v>
                </c:pt>
                <c:pt idx="184">
                  <c:v>-83.561791638149685</c:v>
                </c:pt>
                <c:pt idx="185">
                  <c:v>-83.546059666631649</c:v>
                </c:pt>
                <c:pt idx="186">
                  <c:v>-83.526941809947459</c:v>
                </c:pt>
                <c:pt idx="187">
                  <c:v>-83.504429133740146</c:v>
                </c:pt>
                <c:pt idx="188">
                  <c:v>-83.478511079199265</c:v>
                </c:pt>
                <c:pt idx="189">
                  <c:v>-83.449175463819458</c:v>
                </c:pt>
                <c:pt idx="190">
                  <c:v>-83.416408482131715</c:v>
                </c:pt>
                <c:pt idx="191">
                  <c:v>-83.380194706438587</c:v>
                </c:pt>
                <c:pt idx="192">
                  <c:v>-83.340517087588339</c:v>
                </c:pt>
                <c:pt idx="193">
                  <c:v>-83.29735695582751</c:v>
                </c:pt>
                <c:pt idx="194">
                  <c:v>-83.250694021773469</c:v>
                </c:pt>
                <c:pt idx="195">
                  <c:v>-83.200506377555243</c:v>
                </c:pt>
                <c:pt idx="196">
                  <c:v>-83.146770498172529</c:v>
                </c:pt>
                <c:pt idx="197">
                  <c:v>-83.089461243129549</c:v>
                </c:pt>
                <c:pt idx="198">
                  <c:v>-83.028551858403006</c:v>
                </c:pt>
                <c:pt idx="199">
                  <c:v>-82.964013978810016</c:v>
                </c:pt>
                <c:pt idx="200">
                  <c:v>-82.895817630846139</c:v>
                </c:pt>
                <c:pt idx="201">
                  <c:v>-82.823931236068788</c:v>
                </c:pt>
                <c:pt idx="202">
                  <c:v>-82.748321615107599</c:v>
                </c:pt>
                <c:pt idx="203">
                  <c:v>-82.66895399238895</c:v>
                </c:pt>
                <c:pt idx="204">
                  <c:v>-82.585792001667372</c:v>
                </c:pt>
                <c:pt idx="205">
                  <c:v>-82.498797692463867</c:v>
                </c:pt>
                <c:pt idx="206">
                  <c:v>-82.407931537518451</c:v>
                </c:pt>
                <c:pt idx="207">
                  <c:v>-82.313152441368786</c:v>
                </c:pt>
                <c:pt idx="208">
                  <c:v>-82.214417750177162</c:v>
                </c:pt>
                <c:pt idx="209">
                  <c:v>-82.111683262934378</c:v>
                </c:pt>
                <c:pt idx="210">
                  <c:v>-82.004903244176631</c:v>
                </c:pt>
                <c:pt idx="211">
                  <c:v>-81.894030438361199</c:v>
                </c:pt>
                <c:pt idx="212">
                  <c:v>-81.779016086054384</c:v>
                </c:pt>
                <c:pt idx="213">
                  <c:v>-81.659809942094995</c:v>
                </c:pt>
                <c:pt idx="214">
                  <c:v>-81.536360295905084</c:v>
                </c:pt>
                <c:pt idx="215">
                  <c:v>-81.408613994131031</c:v>
                </c:pt>
                <c:pt idx="216">
                  <c:v>-81.276516465806182</c:v>
                </c:pt>
                <c:pt idx="217">
                  <c:v>-81.140011750237989</c:v>
                </c:pt>
                <c:pt idx="218">
                  <c:v>-80.999042527832827</c:v>
                </c:pt>
                <c:pt idx="219">
                  <c:v>-80.853550154082185</c:v>
                </c:pt>
                <c:pt idx="220">
                  <c:v>-80.703474696945875</c:v>
                </c:pt>
                <c:pt idx="221">
                  <c:v>-80.548754977878275</c:v>
                </c:pt>
                <c:pt idx="222">
                  <c:v>-80.389328616755691</c:v>
                </c:pt>
                <c:pt idx="223">
                  <c:v>-80.225132080974277</c:v>
                </c:pt>
                <c:pt idx="224">
                  <c:v>-80.056100738999305</c:v>
                </c:pt>
                <c:pt idx="225">
                  <c:v>-79.882168918658834</c:v>
                </c:pt>
                <c:pt idx="226">
                  <c:v>-79.703269970484428</c:v>
                </c:pt>
                <c:pt idx="227">
                  <c:v>-79.519336336414881</c:v>
                </c:pt>
                <c:pt idx="228">
                  <c:v>-79.33029962418901</c:v>
                </c:pt>
                <c:pt idx="229">
                  <c:v>-79.136090687761097</c:v>
                </c:pt>
                <c:pt idx="230">
                  <c:v>-78.936639714088116</c:v>
                </c:pt>
                <c:pt idx="231">
                  <c:v>-78.731876316640239</c:v>
                </c:pt>
                <c:pt idx="232">
                  <c:v>-78.521729635998739</c:v>
                </c:pt>
                <c:pt idx="233">
                  <c:v>-78.306128447909813</c:v>
                </c:pt>
                <c:pt idx="234">
                  <c:v>-78.085001279170058</c:v>
                </c:pt>
                <c:pt idx="235">
                  <c:v>-77.85827653172025</c:v>
                </c:pt>
                <c:pt idx="236">
                  <c:v>-77.625882615330411</c:v>
                </c:pt>
                <c:pt idx="237">
                  <c:v>-77.387748089254288</c:v>
                </c:pt>
                <c:pt idx="238">
                  <c:v>-77.143801813232756</c:v>
                </c:pt>
                <c:pt idx="239">
                  <c:v>-76.893973108218674</c:v>
                </c:pt>
                <c:pt idx="240">
                  <c:v>-76.638191927185829</c:v>
                </c:pt>
                <c:pt idx="241">
                  <c:v>-76.376389036376992</c:v>
                </c:pt>
                <c:pt idx="242">
                  <c:v>-76.108496207325885</c:v>
                </c:pt>
                <c:pt idx="243">
                  <c:v>-75.834446419971044</c:v>
                </c:pt>
                <c:pt idx="244">
                  <c:v>-75.554174077154912</c:v>
                </c:pt>
                <c:pt idx="245">
                  <c:v>-75.267615230768499</c:v>
                </c:pt>
                <c:pt idx="246">
                  <c:v>-74.974707819773982</c:v>
                </c:pt>
                <c:pt idx="247">
                  <c:v>-74.675391920288178</c:v>
                </c:pt>
                <c:pt idx="248">
                  <c:v>-74.369610007869909</c:v>
                </c:pt>
                <c:pt idx="249">
                  <c:v>-74.057307232095582</c:v>
                </c:pt>
                <c:pt idx="250">
                  <c:v>-73.738431703447574</c:v>
                </c:pt>
                <c:pt idx="251">
                  <c:v>-73.412934792472583</c:v>
                </c:pt>
                <c:pt idx="252">
                  <c:v>-73.080771441087592</c:v>
                </c:pt>
                <c:pt idx="253">
                  <c:v>-72.741900485828552</c:v>
                </c:pt>
                <c:pt idx="254">
                  <c:v>-72.396284992743034</c:v>
                </c:pt>
                <c:pt idx="255">
                  <c:v>-72.043892603523915</c:v>
                </c:pt>
                <c:pt idx="256">
                  <c:v>-71.684695892377491</c:v>
                </c:pt>
                <c:pt idx="257">
                  <c:v>-71.31867273298819</c:v>
                </c:pt>
                <c:pt idx="258">
                  <c:v>-70.945806674829143</c:v>
                </c:pt>
                <c:pt idx="259">
                  <c:v>-70.566087327920229</c:v>
                </c:pt>
                <c:pt idx="260">
                  <c:v>-70.179510754997153</c:v>
                </c:pt>
                <c:pt idx="261">
                  <c:v>-69.786079869906743</c:v>
                </c:pt>
                <c:pt idx="262">
                  <c:v>-69.385804840881079</c:v>
                </c:pt>
                <c:pt idx="263">
                  <c:v>-68.978703497187411</c:v>
                </c:pt>
                <c:pt idx="264">
                  <c:v>-68.564801737482512</c:v>
                </c:pt>
                <c:pt idx="265">
                  <c:v>-68.144133938032368</c:v>
                </c:pt>
                <c:pt idx="266">
                  <c:v>-67.716743358790296</c:v>
                </c:pt>
                <c:pt idx="267">
                  <c:v>-67.282682545160725</c:v>
                </c:pt>
                <c:pt idx="268">
                  <c:v>-66.842013723110625</c:v>
                </c:pt>
                <c:pt idx="269">
                  <c:v>-66.394809185134093</c:v>
                </c:pt>
                <c:pt idx="270">
                  <c:v>-65.941151664428048</c:v>
                </c:pt>
                <c:pt idx="271">
                  <c:v>-65.48113469450108</c:v>
                </c:pt>
                <c:pt idx="272">
                  <c:v>-65.014862951311798</c:v>
                </c:pt>
                <c:pt idx="273">
                  <c:v>-64.542452574936377</c:v>
                </c:pt>
                <c:pt idx="274">
                  <c:v>-64.064031467673075</c:v>
                </c:pt>
                <c:pt idx="275">
                  <c:v>-63.57973956544437</c:v>
                </c:pt>
                <c:pt idx="276">
                  <c:v>-63.089729079318417</c:v>
                </c:pt>
                <c:pt idx="277">
                  <c:v>-62.594164703978947</c:v>
                </c:pt>
                <c:pt idx="278">
                  <c:v>-62.09322379000438</c:v>
                </c:pt>
                <c:pt idx="279">
                  <c:v>-61.587096476891318</c:v>
                </c:pt>
                <c:pt idx="280">
                  <c:v>-61.075985783870848</c:v>
                </c:pt>
                <c:pt idx="281">
                  <c:v>-60.560107655712748</c:v>
                </c:pt>
                <c:pt idx="282">
                  <c:v>-60.039690960915337</c:v>
                </c:pt>
                <c:pt idx="283">
                  <c:v>-59.514977439913103</c:v>
                </c:pt>
                <c:pt idx="284">
                  <c:v>-58.986221601214631</c:v>
                </c:pt>
                <c:pt idx="285">
                  <c:v>-58.453690563714474</c:v>
                </c:pt>
                <c:pt idx="286">
                  <c:v>-57.917663843780161</c:v>
                </c:pt>
                <c:pt idx="287">
                  <c:v>-57.378433086119884</c:v>
                </c:pt>
                <c:pt idx="288">
                  <c:v>-56.836301737883439</c:v>
                </c:pt>
                <c:pt idx="289">
                  <c:v>-56.2915846659075</c:v>
                </c:pt>
                <c:pt idx="290">
                  <c:v>-55.744607717514789</c:v>
                </c:pt>
                <c:pt idx="291">
                  <c:v>-55.195707225793541</c:v>
                </c:pt>
                <c:pt idx="292">
                  <c:v>-54.645229460805723</c:v>
                </c:pt>
                <c:pt idx="293">
                  <c:v>-54.093530028707157</c:v>
                </c:pt>
                <c:pt idx="294">
                  <c:v>-53.540973221288318</c:v>
                </c:pt>
                <c:pt idx="295">
                  <c:v>-52.987931318968513</c:v>
                </c:pt>
                <c:pt idx="296">
                  <c:v>-52.434783850767936</c:v>
                </c:pt>
                <c:pt idx="297">
                  <c:v>-51.881916815255835</c:v>
                </c:pt>
                <c:pt idx="298">
                  <c:v>-51.329721866912962</c:v>
                </c:pt>
                <c:pt idx="299">
                  <c:v>-50.778595472726401</c:v>
                </c:pt>
                <c:pt idx="300">
                  <c:v>-50.228938044186378</c:v>
                </c:pt>
                <c:pt idx="301">
                  <c:v>-49.681153050130483</c:v>
                </c:pt>
                <c:pt idx="302">
                  <c:v>-49.135646116107004</c:v>
                </c:pt>
                <c:pt idx="303">
                  <c:v>-48.592824116075363</c:v>
                </c:pt>
                <c:pt idx="304">
                  <c:v>-48.053094262352758</c:v>
                </c:pt>
                <c:pt idx="305">
                  <c:v>-47.516863199722977</c:v>
                </c:pt>
                <c:pt idx="306">
                  <c:v>-46.984536109571678</c:v>
                </c:pt>
                <c:pt idx="307">
                  <c:v>-46.456515829766843</c:v>
                </c:pt>
                <c:pt idx="308">
                  <c:v>-45.933201995823296</c:v>
                </c:pt>
                <c:pt idx="309">
                  <c:v>-45.414990208612743</c:v>
                </c:pt>
                <c:pt idx="310">
                  <c:v>-44.902271233562551</c:v>
                </c:pt>
                <c:pt idx="311">
                  <c:v>-44.395430235910474</c:v>
                </c:pt>
                <c:pt idx="312">
                  <c:v>-43.894846056152346</c:v>
                </c:pt>
                <c:pt idx="313">
                  <c:v>-43.400890529364055</c:v>
                </c:pt>
                <c:pt idx="314">
                  <c:v>-42.91392785157533</c:v>
                </c:pt>
                <c:pt idx="315">
                  <c:v>-42.434313995857735</c:v>
                </c:pt>
                <c:pt idx="316">
                  <c:v>-41.962396180252327</c:v>
                </c:pt>
                <c:pt idx="317">
                  <c:v>-41.498512389127114</c:v>
                </c:pt>
                <c:pt idx="318">
                  <c:v>-41.042990949005876</c:v>
                </c:pt>
                <c:pt idx="319">
                  <c:v>-40.596150159388493</c:v>
                </c:pt>
                <c:pt idx="320">
                  <c:v>-40.158297978561826</c:v>
                </c:pt>
                <c:pt idx="321">
                  <c:v>-39.729731763914927</c:v>
                </c:pt>
                <c:pt idx="322">
                  <c:v>-39.310738065800734</c:v>
                </c:pt>
                <c:pt idx="323">
                  <c:v>-38.901592473565621</c:v>
                </c:pt>
                <c:pt idx="324">
                  <c:v>-38.502559511961579</c:v>
                </c:pt>
                <c:pt idx="325">
                  <c:v>-38.113892585816252</c:v>
                </c:pt>
                <c:pt idx="326">
                  <c:v>-37.735833970509148</c:v>
                </c:pt>
                <c:pt idx="327">
                  <c:v>-37.368614845540414</c:v>
                </c:pt>
                <c:pt idx="328">
                  <c:v>-37.012455368251935</c:v>
                </c:pt>
                <c:pt idx="329">
                  <c:v>-36.667564784570203</c:v>
                </c:pt>
                <c:pt idx="330">
                  <c:v>-36.334141573506827</c:v>
                </c:pt>
                <c:pt idx="331">
                  <c:v>-36.012373622042283</c:v>
                </c:pt>
                <c:pt idx="332">
                  <c:v>-35.702438426960263</c:v>
                </c:pt>
                <c:pt idx="333">
                  <c:v>-35.404503320169184</c:v>
                </c:pt>
                <c:pt idx="334">
                  <c:v>-35.118725714050413</c:v>
                </c:pt>
                <c:pt idx="335">
                  <c:v>-34.84525336340981</c:v>
                </c:pt>
                <c:pt idx="336">
                  <c:v>-34.584224640665774</c:v>
                </c:pt>
                <c:pt idx="337">
                  <c:v>-34.335768820994737</c:v>
                </c:pt>
                <c:pt idx="338">
                  <c:v>-34.100006374254065</c:v>
                </c:pt>
                <c:pt idx="339">
                  <c:v>-33.877049260629612</c:v>
                </c:pt>
                <c:pt idx="340">
                  <c:v>-33.667001227084214</c:v>
                </c:pt>
                <c:pt idx="341">
                  <c:v>-33.469958101831594</c:v>
                </c:pt>
                <c:pt idx="342">
                  <c:v>-33.286008084218551</c:v>
                </c:pt>
                <c:pt idx="343">
                  <c:v>-33.115232027554484</c:v>
                </c:pt>
                <c:pt idx="344">
                  <c:v>-32.957703712596739</c:v>
                </c:pt>
                <c:pt idx="345">
                  <c:v>-32.813490109565819</c:v>
                </c:pt>
                <c:pt idx="346">
                  <c:v>-32.682651626736032</c:v>
                </c:pt>
                <c:pt idx="347">
                  <c:v>-32.565242343812763</c:v>
                </c:pt>
                <c:pt idx="348">
                  <c:v>-32.461310228478006</c:v>
                </c:pt>
                <c:pt idx="349">
                  <c:v>-32.370897334646102</c:v>
                </c:pt>
                <c:pt idx="350">
                  <c:v>-32.294039981138511</c:v>
                </c:pt>
                <c:pt idx="351">
                  <c:v>-32.230768909641334</c:v>
                </c:pt>
                <c:pt idx="352">
                  <c:v>-32.181109420967495</c:v>
                </c:pt>
                <c:pt idx="353">
                  <c:v>-32.145081488794865</c:v>
                </c:pt>
                <c:pt idx="354">
                  <c:v>-32.122699850204683</c:v>
                </c:pt>
                <c:pt idx="355">
                  <c:v>-32.113974072487451</c:v>
                </c:pt>
                <c:pt idx="356">
                  <c:v>-32.11890859582924</c:v>
                </c:pt>
                <c:pt idx="357">
                  <c:v>-32.137502751634855</c:v>
                </c:pt>
                <c:pt idx="358">
                  <c:v>-32.169750756383728</c:v>
                </c:pt>
                <c:pt idx="359">
                  <c:v>-32.215641681056596</c:v>
                </c:pt>
                <c:pt idx="360">
                  <c:v>-32.275159396311466</c:v>
                </c:pt>
                <c:pt idx="361">
                  <c:v>-32.348282493728654</c:v>
                </c:pt>
                <c:pt idx="362">
                  <c:v>-32.434984183592121</c:v>
                </c:pt>
                <c:pt idx="363">
                  <c:v>-32.535232169811181</c:v>
                </c:pt>
                <c:pt idx="364">
                  <c:v>-32.648988502744707</c:v>
                </c:pt>
                <c:pt idx="365">
                  <c:v>-32.77620941083282</c:v>
                </c:pt>
                <c:pt idx="366">
                  <c:v>-32.916845112098649</c:v>
                </c:pt>
                <c:pt idx="367">
                  <c:v>-33.070839606741202</c:v>
                </c:pt>
                <c:pt idx="368">
                  <c:v>-33.238130452195435</c:v>
                </c:pt>
                <c:pt idx="369">
                  <c:v>-33.418648522206929</c:v>
                </c:pt>
                <c:pt idx="370">
                  <c:v>-33.612317751626762</c:v>
                </c:pt>
                <c:pt idx="371">
                  <c:v>-33.819054868806774</c:v>
                </c:pt>
                <c:pt idx="372">
                  <c:v>-34.038769117639177</c:v>
                </c:pt>
                <c:pt idx="373">
                  <c:v>-34.271361971457139</c:v>
                </c:pt>
                <c:pt idx="374">
                  <c:v>-34.51672684117586</c:v>
                </c:pt>
                <c:pt idx="375">
                  <c:v>-34.774748780222659</c:v>
                </c:pt>
                <c:pt idx="376">
                  <c:v>-35.045304188956365</c:v>
                </c:pt>
                <c:pt idx="377">
                  <c:v>-35.328260521433585</c:v>
                </c:pt>
                <c:pt idx="378">
                  <c:v>-35.623475997514383</c:v>
                </c:pt>
                <c:pt idx="379">
                  <c:v>-35.930799323432645</c:v>
                </c:pt>
                <c:pt idx="380">
                  <c:v>-36.250069424064144</c:v>
                </c:pt>
                <c:pt idx="381">
                  <c:v>-36.581115190222846</c:v>
                </c:pt>
                <c:pt idx="382">
                  <c:v>-36.923755244385369</c:v>
                </c:pt>
                <c:pt idx="383">
                  <c:v>-37.277797728291439</c:v>
                </c:pt>
                <c:pt idx="384">
                  <c:v>-37.643040115883721</c:v>
                </c:pt>
                <c:pt idx="385">
                  <c:v>-38.019269055043488</c:v>
                </c:pt>
                <c:pt idx="386">
                  <c:v>-38.40626024152575</c:v>
                </c:pt>
                <c:pt idx="387">
                  <c:v>-38.803778328414012</c:v>
                </c:pt>
                <c:pt idx="388">
                  <c:v>-39.211576874298011</c:v>
                </c:pt>
                <c:pt idx="389">
                  <c:v>-39.629398333203014</c:v>
                </c:pt>
                <c:pt idx="390">
                  <c:v>-40.056974089100983</c:v>
                </c:pt>
                <c:pt idx="391">
                  <c:v>-40.494024537585211</c:v>
                </c:pt>
                <c:pt idx="392">
                  <c:v>-40.940259216983137</c:v>
                </c:pt>
                <c:pt idx="393">
                  <c:v>-41.395376990868471</c:v>
                </c:pt>
                <c:pt idx="394">
                  <c:v>-41.859066283539327</c:v>
                </c:pt>
                <c:pt idx="395">
                  <c:v>-42.331005369624506</c:v>
                </c:pt>
                <c:pt idx="396">
                  <c:v>-42.810862718527758</c:v>
                </c:pt>
                <c:pt idx="397">
                  <c:v>-43.298297393945049</c:v>
                </c:pt>
                <c:pt idx="398">
                  <c:v>-43.792959508178257</c:v>
                </c:pt>
                <c:pt idx="399">
                  <c:v>-44.294490730451244</c:v>
                </c:pt>
                <c:pt idx="400">
                  <c:v>-44.802524847896244</c:v>
                </c:pt>
                <c:pt idx="401">
                  <c:v>-45.316688377335161</c:v>
                </c:pt>
                <c:pt idx="402">
                  <c:v>-45.83660122544596</c:v>
                </c:pt>
                <c:pt idx="403">
                  <c:v>-46.361877394372513</c:v>
                </c:pt>
                <c:pt idx="404">
                  <c:v>-46.892125729333557</c:v>
                </c:pt>
                <c:pt idx="405">
                  <c:v>-47.426950704298477</c:v>
                </c:pt>
                <c:pt idx="406">
                  <c:v>-47.965953241366122</c:v>
                </c:pt>
                <c:pt idx="407">
                  <c:v>-48.508731559065026</c:v>
                </c:pt>
                <c:pt idx="408">
                  <c:v>-49.054882044462758</c:v>
                </c:pt>
                <c:pt idx="409">
                  <c:v>-49.604000143666646</c:v>
                </c:pt>
                <c:pt idx="410">
                  <c:v>-50.155681265072332</c:v>
                </c:pt>
                <c:pt idx="411">
                  <c:v>-50.709521689557441</c:v>
                </c:pt>
                <c:pt idx="412">
                  <c:v>-51.265119481717747</c:v>
                </c:pt>
                <c:pt idx="413">
                  <c:v>-51.822075396229586</c:v>
                </c:pt>
                <c:pt idx="414">
                  <c:v>-52.379993773468286</c:v>
                </c:pt>
                <c:pt idx="415">
                  <c:v>-52.938483418629843</c:v>
                </c:pt>
                <c:pt idx="416">
                  <c:v>-53.4971584588056</c:v>
                </c:pt>
                <c:pt idx="417">
                  <c:v>-54.055639172697383</c:v>
                </c:pt>
                <c:pt idx="418">
                  <c:v>-54.613552787988738</c:v>
                </c:pt>
                <c:pt idx="419">
                  <c:v>-55.170534241749436</c:v>
                </c:pt>
                <c:pt idx="420">
                  <c:v>-55.726226899664589</c:v>
                </c:pt>
                <c:pt idx="421">
                  <c:v>-56.280283230342192</c:v>
                </c:pt>
                <c:pt idx="422">
                  <c:v>-56.832365431427156</c:v>
                </c:pt>
                <c:pt idx="423">
                  <c:v>-57.38214600477739</c:v>
                </c:pt>
                <c:pt idx="424">
                  <c:v>-57.929308278461377</c:v>
                </c:pt>
                <c:pt idx="425">
                  <c:v>-58.473546873888736</c:v>
                </c:pt>
                <c:pt idx="426">
                  <c:v>-59.014568116899689</c:v>
                </c:pt>
                <c:pt idx="427">
                  <c:v>-59.552090392168303</c:v>
                </c:pt>
                <c:pt idx="428">
                  <c:v>-60.085844440774466</c:v>
                </c:pt>
                <c:pt idx="429">
                  <c:v>-60.615573601288261</c:v>
                </c:pt>
                <c:pt idx="430">
                  <c:v>-61.141033995151162</c:v>
                </c:pt>
                <c:pt idx="431">
                  <c:v>-61.661994657573999</c:v>
                </c:pt>
                <c:pt idx="432">
                  <c:v>-62.178237615540304</c:v>
                </c:pt>
                <c:pt idx="433">
                  <c:v>-62.689557914863464</c:v>
                </c:pt>
                <c:pt idx="434">
                  <c:v>-63.195763598531308</c:v>
                </c:pt>
                <c:pt idx="435">
                  <c:v>-63.696675638840937</c:v>
                </c:pt>
                <c:pt idx="436">
                  <c:v>-64.192127826044938</c:v>
                </c:pt>
                <c:pt idx="437">
                  <c:v>-64.68196661638909</c:v>
                </c:pt>
                <c:pt idx="438">
                  <c:v>-65.166050942566429</c:v>
                </c:pt>
                <c:pt idx="439">
                  <c:v>-65.644251989696556</c:v>
                </c:pt>
                <c:pt idx="440">
                  <c:v>-66.116452939991021</c:v>
                </c:pt>
                <c:pt idx="441">
                  <c:v>-66.582548689285275</c:v>
                </c:pt>
                <c:pt idx="442">
                  <c:v>-67.042445538600049</c:v>
                </c:pt>
                <c:pt idx="443">
                  <c:v>-67.496060863850772</c:v>
                </c:pt>
                <c:pt idx="444">
                  <c:v>-67.943322766752374</c:v>
                </c:pt>
                <c:pt idx="445">
                  <c:v>-68.384169709874271</c:v>
                </c:pt>
                <c:pt idx="446">
                  <c:v>-68.818550138680735</c:v>
                </c:pt>
                <c:pt idx="447">
                  <c:v>-69.24642209327159</c:v>
                </c:pt>
                <c:pt idx="448">
                  <c:v>-69.667752812385103</c:v>
                </c:pt>
                <c:pt idx="449">
                  <c:v>-70.082518332079175</c:v>
                </c:pt>
                <c:pt idx="450">
                  <c:v>-70.490703081341493</c:v>
                </c:pt>
                <c:pt idx="451">
                  <c:v>-70.892299476715337</c:v>
                </c:pt>
                <c:pt idx="452">
                  <c:v>-71.28730751786199</c:v>
                </c:pt>
                <c:pt idx="453">
                  <c:v>-71.67573438580844</c:v>
                </c:pt>
                <c:pt idx="454">
                  <c:v>-72.057594045465478</c:v>
                </c:pt>
                <c:pt idx="455">
                  <c:v>-72.432906853837565</c:v>
                </c:pt>
                <c:pt idx="456">
                  <c:v>-72.801699175183131</c:v>
                </c:pt>
                <c:pt idx="457">
                  <c:v>-73.164003004238182</c:v>
                </c:pt>
                <c:pt idx="458">
                  <c:v>-73.519855598461504</c:v>
                </c:pt>
                <c:pt idx="459">
                  <c:v>-73.869299120123316</c:v>
                </c:pt>
                <c:pt idx="460">
                  <c:v>-74.212380288933403</c:v>
                </c:pt>
                <c:pt idx="461">
                  <c:v>-74.549150045769949</c:v>
                </c:pt>
                <c:pt idx="462">
                  <c:v>-74.879663227967754</c:v>
                </c:pt>
                <c:pt idx="463">
                  <c:v>-75.203978256511945</c:v>
                </c:pt>
                <c:pt idx="464">
                  <c:v>-75.522156835386141</c:v>
                </c:pt>
                <c:pt idx="465">
                  <c:v>-75.83426366323809</c:v>
                </c:pt>
                <c:pt idx="466">
                  <c:v>-76.140366157443964</c:v>
                </c:pt>
                <c:pt idx="467">
                  <c:v>-76.440534190579314</c:v>
                </c:pt>
                <c:pt idx="468">
                  <c:v>-76.734839839240308</c:v>
                </c:pt>
                <c:pt idx="469">
                  <c:v>-77.023357145104185</c:v>
                </c:pt>
                <c:pt idx="470">
                  <c:v>-77.306161888061794</c:v>
                </c:pt>
                <c:pt idx="471">
                  <c:v>-77.583331371218463</c:v>
                </c:pt>
                <c:pt idx="472">
                  <c:v>-77.854944217514813</c:v>
                </c:pt>
                <c:pt idx="473">
                  <c:v>-78.121080177692505</c:v>
                </c:pt>
                <c:pt idx="474">
                  <c:v>-78.38181994930072</c:v>
                </c:pt>
                <c:pt idx="475">
                  <c:v>-78.637245006416663</c:v>
                </c:pt>
                <c:pt idx="476">
                  <c:v>-78.887437439738164</c:v>
                </c:pt>
                <c:pt idx="477">
                  <c:v>-79.132479806690313</c:v>
                </c:pt>
                <c:pt idx="478">
                  <c:v>-79.372454991180675</c:v>
                </c:pt>
                <c:pt idx="479">
                  <c:v>-79.607446072629244</c:v>
                </c:pt>
                <c:pt idx="480">
                  <c:v>-79.837536203896164</c:v>
                </c:pt>
                <c:pt idx="481">
                  <c:v>-80.062808497728923</c:v>
                </c:pt>
                <c:pt idx="482">
                  <c:v>-80.283345921352634</c:v>
                </c:pt>
                <c:pt idx="483">
                  <c:v>-80.499231198828397</c:v>
                </c:pt>
                <c:pt idx="484">
                  <c:v>-80.710546720810655</c:v>
                </c:pt>
                <c:pt idx="485">
                  <c:v>-80.917374461341325</c:v>
                </c:pt>
                <c:pt idx="486">
                  <c:v>-81.119795901324125</c:v>
                </c:pt>
                <c:pt idx="487">
                  <c:v>-81.317891958332254</c:v>
                </c:pt>
                <c:pt idx="488">
                  <c:v>-81.511742922411159</c:v>
                </c:pt>
                <c:pt idx="489">
                  <c:v>-81.701428397550416</c:v>
                </c:pt>
                <c:pt idx="490">
                  <c:v>-81.887027248504566</c:v>
                </c:pt>
                <c:pt idx="491">
                  <c:v>-82.06861755265993</c:v>
                </c:pt>
                <c:pt idx="492">
                  <c:v>-82.246276556649491</c:v>
                </c:pt>
                <c:pt idx="493">
                  <c:v>-82.420080637434737</c:v>
                </c:pt>
                <c:pt idx="494">
                  <c:v>-82.59010526758037</c:v>
                </c:pt>
                <c:pt idx="495">
                  <c:v>-82.756424984463578</c:v>
                </c:pt>
                <c:pt idx="496">
                  <c:v>-82.919113363166559</c:v>
                </c:pt>
                <c:pt idx="497">
                  <c:v>-83.07824299281657</c:v>
                </c:pt>
                <c:pt idx="498">
                  <c:v>-83.233885456146055</c:v>
                </c:pt>
                <c:pt idx="499">
                  <c:v>-83.386111312057594</c:v>
                </c:pt>
                <c:pt idx="500">
                  <c:v>-83.534990080988678</c:v>
                </c:pt>
                <c:pt idx="501">
                  <c:v>-83.68059023288248</c:v>
                </c:pt>
                <c:pt idx="502">
                  <c:v>-83.822979177580237</c:v>
                </c:pt>
                <c:pt idx="503">
                  <c:v>-83.962223257460323</c:v>
                </c:pt>
                <c:pt idx="504">
                  <c:v>-84.09838774216</c:v>
                </c:pt>
                <c:pt idx="505">
                  <c:v>-84.231536825223444</c:v>
                </c:pt>
                <c:pt idx="506">
                  <c:v>-84.361733622529599</c:v>
                </c:pt>
                <c:pt idx="507">
                  <c:v>-84.489040172360816</c:v>
                </c:pt>
                <c:pt idx="508">
                  <c:v>-84.613517436982193</c:v>
                </c:pt>
                <c:pt idx="509">
                  <c:v>-84.735225305609021</c:v>
                </c:pt>
                <c:pt idx="510">
                  <c:v>-84.854222598646615</c:v>
                </c:pt>
                <c:pt idx="511">
                  <c:v>-84.970567073094728</c:v>
                </c:pt>
                <c:pt idx="512">
                  <c:v>-85.084315429014339</c:v>
                </c:pt>
                <c:pt idx="513">
                  <c:v>-85.19552331696265</c:v>
                </c:pt>
                <c:pt idx="514">
                  <c:v>-85.304245346306189</c:v>
                </c:pt>
                <c:pt idx="515">
                  <c:v>-85.410535094328779</c:v>
                </c:pt>
                <c:pt idx="516">
                  <c:v>-85.514445116057217</c:v>
                </c:pt>
                <c:pt idx="517">
                  <c:v>-85.616026954730913</c:v>
                </c:pt>
                <c:pt idx="518">
                  <c:v>-85.715331152848009</c:v>
                </c:pt>
                <c:pt idx="519">
                  <c:v>-85.812407263724779</c:v>
                </c:pt>
                <c:pt idx="520">
                  <c:v>-85.907303863509227</c:v>
                </c:pt>
                <c:pt idx="521">
                  <c:v>-86.000068563594027</c:v>
                </c:pt>
                <c:pt idx="522">
                  <c:v>-86.090748023377301</c:v>
                </c:pt>
                <c:pt idx="523">
                  <c:v>-86.179387963325439</c:v>
                </c:pt>
                <c:pt idx="524">
                  <c:v>-86.26603317829202</c:v>
                </c:pt>
                <c:pt idx="525">
                  <c:v>-86.35072755105368</c:v>
                </c:pt>
                <c:pt idx="526">
                  <c:v>-86.433514066024259</c:v>
                </c:pt>
                <c:pt idx="527">
                  <c:v>-86.514434823113248</c:v>
                </c:pt>
                <c:pt idx="528">
                  <c:v>-86.593531051695365</c:v>
                </c:pt>
                <c:pt idx="529">
                  <c:v>-86.670843124662738</c:v>
                </c:pt>
                <c:pt idx="530">
                  <c:v>-86.746410572531175</c:v>
                </c:pt>
                <c:pt idx="531">
                  <c:v>-86.820272097576407</c:v>
                </c:pt>
                <c:pt idx="532">
                  <c:v>-86.892465587976176</c:v>
                </c:pt>
                <c:pt idx="533">
                  <c:v>-86.963028131938287</c:v>
                </c:pt>
                <c:pt idx="534">
                  <c:v>-87.031996031793923</c:v>
                </c:pt>
                <c:pt idx="535">
                  <c:v>-87.099404818039261</c:v>
                </c:pt>
                <c:pt idx="536">
                  <c:v>-87.165289263309205</c:v>
                </c:pt>
                <c:pt idx="537">
                  <c:v>-87.229683396268356</c:v>
                </c:pt>
                <c:pt idx="538">
                  <c:v>-87.292620515405773</c:v>
                </c:pt>
                <c:pt idx="539">
                  <c:v>-87.354133202721968</c:v>
                </c:pt>
                <c:pt idx="540">
                  <c:v>-87.414253337296572</c:v>
                </c:pt>
                <c:pt idx="541">
                  <c:v>-87.473012108727403</c:v>
                </c:pt>
              </c:numCache>
            </c:numRef>
          </c:yVal>
          <c:smooth val="1"/>
          <c:extLst>
            <c:ext xmlns:c16="http://schemas.microsoft.com/office/drawing/2014/chart" uri="{C3380CC4-5D6E-409C-BE32-E72D297353CC}">
              <c16:uniqueId val="{00000001-F7C0-4EEE-87E3-EE720F12A204}"/>
            </c:ext>
          </c:extLst>
        </c:ser>
        <c:dLbls>
          <c:showLegendKey val="0"/>
          <c:showVal val="0"/>
          <c:showCatName val="0"/>
          <c:showSerName val="0"/>
          <c:showPercent val="0"/>
          <c:showBubbleSize val="0"/>
        </c:dLbls>
        <c:axId val="555313792"/>
        <c:axId val="555312256"/>
      </c:scatterChart>
      <c:valAx>
        <c:axId val="5553040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05984"/>
        <c:crosses val="autoZero"/>
        <c:crossBetween val="midCat"/>
      </c:valAx>
      <c:valAx>
        <c:axId val="5553059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304064"/>
        <c:crosses val="autoZero"/>
        <c:crossBetween val="midCat"/>
        <c:majorUnit val="20"/>
        <c:minorUnit val="10"/>
      </c:valAx>
      <c:valAx>
        <c:axId val="555312256"/>
        <c:scaling>
          <c:orientation val="minMax"/>
          <c:max val="180"/>
          <c:min val="-180"/>
        </c:scaling>
        <c:delete val="0"/>
        <c:axPos val="r"/>
        <c:numFmt formatCode="General" sourceLinked="1"/>
        <c:majorTickMark val="out"/>
        <c:minorTickMark val="none"/>
        <c:tickLblPos val="nextTo"/>
        <c:crossAx val="555313792"/>
        <c:crosses val="max"/>
        <c:crossBetween val="midCat"/>
        <c:majorUnit val="90"/>
        <c:minorUnit val="45"/>
      </c:valAx>
      <c:valAx>
        <c:axId val="555313792"/>
        <c:scaling>
          <c:logBase val="10"/>
          <c:orientation val="minMax"/>
        </c:scaling>
        <c:delete val="1"/>
        <c:axPos val="b"/>
        <c:numFmt formatCode="0.00" sourceLinked="1"/>
        <c:majorTickMark val="out"/>
        <c:minorTickMark val="none"/>
        <c:tickLblPos val="nextTo"/>
        <c:crossAx val="55531225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88.900428504233616</c:v>
                </c:pt>
                <c:pt idx="1">
                  <c:v>88.68524532639583</c:v>
                </c:pt>
                <c:pt idx="2">
                  <c:v>88.469403963343922</c:v>
                </c:pt>
                <c:pt idx="3">
                  <c:v>88.252878470948858</c:v>
                </c:pt>
                <c:pt idx="4">
                  <c:v>88.035642109732663</c:v>
                </c:pt>
                <c:pt idx="5">
                  <c:v>87.817667340476191</c:v>
                </c:pt>
                <c:pt idx="6">
                  <c:v>87.598925821801558</c:v>
                </c:pt>
                <c:pt idx="7">
                  <c:v>87.379388409916814</c:v>
                </c:pt>
                <c:pt idx="8">
                  <c:v>87.159025160715515</c:v>
                </c:pt>
                <c:pt idx="9">
                  <c:v>86.937805334430323</c:v>
                </c:pt>
                <c:pt idx="10">
                  <c:v>86.7156974030448</c:v>
                </c:pt>
                <c:pt idx="11">
                  <c:v>86.49266906066714</c:v>
                </c:pt>
                <c:pt idx="12">
                  <c:v>86.268687237077444</c:v>
                </c:pt>
                <c:pt idx="13">
                  <c:v>86.043718114652435</c:v>
                </c:pt>
                <c:pt idx="14">
                  <c:v>85.817727148877267</c:v>
                </c:pt>
                <c:pt idx="15">
                  <c:v>85.590679092644862</c:v>
                </c:pt>
                <c:pt idx="16">
                  <c:v>85.36253802453902</c:v>
                </c:pt>
                <c:pt idx="17">
                  <c:v>85.133267381291162</c:v>
                </c:pt>
                <c:pt idx="18">
                  <c:v>84.902829994585076</c:v>
                </c:pt>
                <c:pt idx="19">
                  <c:v>84.671188132373231</c:v>
                </c:pt>
                <c:pt idx="20">
                  <c:v>84.438303544850854</c:v>
                </c:pt>
                <c:pt idx="21">
                  <c:v>84.204137515211613</c:v>
                </c:pt>
                <c:pt idx="22">
                  <c:v>83.968650915289118</c:v>
                </c:pt>
                <c:pt idx="23">
                  <c:v>83.731804266155834</c:v>
                </c:pt>
                <c:pt idx="24">
                  <c:v>83.4935578037271</c:v>
                </c:pt>
                <c:pt idx="25">
                  <c:v>83.253871549378687</c:v>
                </c:pt>
                <c:pt idx="26">
                  <c:v>83.012705385553019</c:v>
                </c:pt>
                <c:pt idx="27">
                  <c:v>82.770019136286521</c:v>
                </c:pt>
                <c:pt idx="28">
                  <c:v>82.525772652548355</c:v>
                </c:pt>
                <c:pt idx="29">
                  <c:v>82.279925902234027</c:v>
                </c:pt>
                <c:pt idx="30">
                  <c:v>82.032439064610401</c:v>
                </c:pt>
                <c:pt idx="31">
                  <c:v>81.783272628954506</c:v>
                </c:pt>
                <c:pt idx="32">
                  <c:v>81.532387497082951</c:v>
                </c:pt>
                <c:pt idx="33">
                  <c:v>81.279745089407925</c:v>
                </c:pt>
                <c:pt idx="34">
                  <c:v>81.025307454110873</c:v>
                </c:pt>
                <c:pt idx="35">
                  <c:v>80.769037378966644</c:v>
                </c:pt>
                <c:pt idx="36">
                  <c:v>80.510898505302322</c:v>
                </c:pt>
                <c:pt idx="37">
                  <c:v>80.250855443526646</c:v>
                </c:pt>
                <c:pt idx="38">
                  <c:v>79.988873889619256</c:v>
                </c:pt>
                <c:pt idx="39">
                  <c:v>79.724920741926425</c:v>
                </c:pt>
                <c:pt idx="40">
                  <c:v>79.458964217576181</c:v>
                </c:pt>
                <c:pt idx="41">
                  <c:v>79.19097396778956</c:v>
                </c:pt>
                <c:pt idx="42">
                  <c:v>78.920921191347745</c:v>
                </c:pt>
                <c:pt idx="43">
                  <c:v>78.648778745448354</c:v>
                </c:pt>
                <c:pt idx="44">
                  <c:v>78.374521253185478</c:v>
                </c:pt>
                <c:pt idx="45">
                  <c:v>78.09812520687845</c:v>
                </c:pt>
                <c:pt idx="46">
                  <c:v>77.81956906649097</c:v>
                </c:pt>
                <c:pt idx="47">
                  <c:v>77.538833352395343</c:v>
                </c:pt>
                <c:pt idx="48">
                  <c:v>77.255900731766872</c:v>
                </c:pt>
                <c:pt idx="49">
                  <c:v>76.970756097931456</c:v>
                </c:pt>
                <c:pt idx="50">
                  <c:v>76.683386642034534</c:v>
                </c:pt>
                <c:pt idx="51">
                  <c:v>76.39378191645703</c:v>
                </c:pt>
                <c:pt idx="52">
                  <c:v>76.101933889467489</c:v>
                </c:pt>
                <c:pt idx="53">
                  <c:v>75.80783699067058</c:v>
                </c:pt>
                <c:pt idx="54">
                  <c:v>75.51148814689239</c:v>
                </c:pt>
                <c:pt idx="55">
                  <c:v>75.21288680822407</c:v>
                </c:pt>
                <c:pt idx="56">
                  <c:v>74.912034964036778</c:v>
                </c:pt>
                <c:pt idx="57">
                  <c:v>74.608937148868833</c:v>
                </c:pt>
                <c:pt idx="58">
                  <c:v>74.303600438181121</c:v>
                </c:pt>
                <c:pt idx="59">
                  <c:v>73.996034434068306</c:v>
                </c:pt>
                <c:pt idx="60">
                  <c:v>73.68625124110639</c:v>
                </c:pt>
                <c:pt idx="61">
                  <c:v>73.37426543260446</c:v>
                </c:pt>
                <c:pt idx="62">
                  <c:v>73.060094007615007</c:v>
                </c:pt>
                <c:pt idx="63">
                  <c:v>72.743756339136525</c:v>
                </c:pt>
                <c:pt idx="64">
                  <c:v>72.425274114015409</c:v>
                </c:pt>
                <c:pt idx="65">
                  <c:v>72.104671265120217</c:v>
                </c:pt>
                <c:pt idx="66">
                  <c:v>71.781973896419615</c:v>
                </c:pt>
                <c:pt idx="67">
                  <c:v>71.457210201644244</c:v>
                </c:pt>
                <c:pt idx="68">
                  <c:v>71.130410377252375</c:v>
                </c:pt>
                <c:pt idx="69">
                  <c:v>70.801606530450513</c:v>
                </c:pt>
                <c:pt idx="70">
                  <c:v>70.470832583038913</c:v>
                </c:pt>
                <c:pt idx="71">
                  <c:v>70.138124171865158</c:v>
                </c:pt>
                <c:pt idx="72">
                  <c:v>69.803518546669437</c:v>
                </c:pt>
                <c:pt idx="73">
                  <c:v>69.467054466098887</c:v>
                </c:pt>
                <c:pt idx="74">
                  <c:v>69.128772092652028</c:v>
                </c:pt>
                <c:pt idx="75">
                  <c:v>68.788712887293173</c:v>
                </c:pt>
                <c:pt idx="76">
                  <c:v>68.446919504444054</c:v>
                </c:pt>
                <c:pt idx="77">
                  <c:v>68.103435688027588</c:v>
                </c:pt>
                <c:pt idx="78">
                  <c:v>67.758306169193816</c:v>
                </c:pt>
                <c:pt idx="79">
                  <c:v>67.411576566314935</c:v>
                </c:pt>
                <c:pt idx="80">
                  <c:v>67.063293287787403</c:v>
                </c:pt>
                <c:pt idx="81">
                  <c:v>66.71350343812604</c:v>
                </c:pt>
                <c:pt idx="82">
                  <c:v>66.362254727784503</c:v>
                </c:pt>
                <c:pt idx="83">
                  <c:v>66.009595387079429</c:v>
                </c:pt>
                <c:pt idx="84">
                  <c:v>65.65557408454552</c:v>
                </c:pt>
                <c:pt idx="85">
                  <c:v>65.300239849991016</c:v>
                </c:pt>
                <c:pt idx="86">
                  <c:v>64.943642002473894</c:v>
                </c:pt>
                <c:pt idx="87">
                  <c:v>64.585830083367298</c:v>
                </c:pt>
                <c:pt idx="88">
                  <c:v>64.226853794633456</c:v>
                </c:pt>
                <c:pt idx="89">
                  <c:v>63.866762942381243</c:v>
                </c:pt>
                <c:pt idx="90">
                  <c:v>63.505607385737136</c:v>
                </c:pt>
                <c:pt idx="91">
                  <c:v>63.143436991019691</c:v>
                </c:pt>
                <c:pt idx="92">
                  <c:v>62.780301591171828</c:v>
                </c:pt>
                <c:pt idx="93">
                  <c:v>62.416250950368394</c:v>
                </c:pt>
                <c:pt idx="94">
                  <c:v>62.051334733688634</c:v>
                </c:pt>
                <c:pt idx="95">
                  <c:v>61.685602481712685</c:v>
                </c:pt>
                <c:pt idx="96">
                  <c:v>61.319103589878651</c:v>
                </c:pt>
                <c:pt idx="97">
                  <c:v>60.951887292414384</c:v>
                </c:pt>
                <c:pt idx="98">
                  <c:v>60.584002650637103</c:v>
                </c:pt>
                <c:pt idx="99">
                  <c:v>60.2154985454019</c:v>
                </c:pt>
                <c:pt idx="100">
                  <c:v>59.846423673462297</c:v>
                </c:pt>
                <c:pt idx="101">
                  <c:v>59.476826547495001</c:v>
                </c:pt>
                <c:pt idx="102">
                  <c:v>59.106755499532902</c:v>
                </c:pt>
                <c:pt idx="103">
                  <c:v>58.736258687540499</c:v>
                </c:pt>
                <c:pt idx="104">
                  <c:v>58.365384104859643</c:v>
                </c:pt>
                <c:pt idx="105">
                  <c:v>57.994179592249033</c:v>
                </c:pt>
                <c:pt idx="106">
                  <c:v>57.6226928522359</c:v>
                </c:pt>
                <c:pt idx="107">
                  <c:v>57.250971465495688</c:v>
                </c:pt>
                <c:pt idx="108">
                  <c:v>56.879062908973815</c:v>
                </c:pt>
                <c:pt idx="109">
                  <c:v>56.507014575459394</c:v>
                </c:pt>
                <c:pt idx="110">
                  <c:v>56.134873794323127</c:v>
                </c:pt>
                <c:pt idx="111">
                  <c:v>55.76268785312763</c:v>
                </c:pt>
                <c:pt idx="112">
                  <c:v>55.390504019820142</c:v>
                </c:pt>
                <c:pt idx="113">
                  <c:v>55.01836956521543</c:v>
                </c:pt>
                <c:pt idx="114">
                  <c:v>54.64633178547772</c:v>
                </c:pt>
                <c:pt idx="115">
                  <c:v>54.27443802431057</c:v>
                </c:pt>
                <c:pt idx="116">
                  <c:v>53.902735694562807</c:v>
                </c:pt>
                <c:pt idx="117">
                  <c:v>53.531272298959735</c:v>
                </c:pt>
                <c:pt idx="118">
                  <c:v>53.160095449669569</c:v>
                </c:pt>
                <c:pt idx="119">
                  <c:v>52.789252886415071</c:v>
                </c:pt>
                <c:pt idx="120">
                  <c:v>52.41879249284289</c:v>
                </c:pt>
                <c:pt idx="121">
                  <c:v>52.048762310863232</c:v>
                </c:pt>
                <c:pt idx="122">
                  <c:v>51.679210552676992</c:v>
                </c:pt>
                <c:pt idx="123">
                  <c:v>51.310185610207881</c:v>
                </c:pt>
                <c:pt idx="124">
                  <c:v>50.941736061665424</c:v>
                </c:pt>
                <c:pt idx="125">
                  <c:v>50.573910674964353</c:v>
                </c:pt>
                <c:pt idx="126">
                  <c:v>50.206758407737802</c:v>
                </c:pt>
                <c:pt idx="127">
                  <c:v>49.840328403687963</c:v>
                </c:pt>
                <c:pt idx="128">
                  <c:v>49.474669985025969</c:v>
                </c:pt>
                <c:pt idx="129">
                  <c:v>49.109832640767252</c:v>
                </c:pt>
                <c:pt idx="130">
                  <c:v>48.745866010662979</c:v>
                </c:pt>
                <c:pt idx="131">
                  <c:v>48.382819864561235</c:v>
                </c:pt>
                <c:pt idx="132">
                  <c:v>48.020744077015664</c:v>
                </c:pt>
                <c:pt idx="133">
                  <c:v>47.659688596976352</c:v>
                </c:pt>
                <c:pt idx="134">
                  <c:v>47.299703412426879</c:v>
                </c:pt>
                <c:pt idx="135">
                  <c:v>46.940838509856128</c:v>
                </c:pt>
                <c:pt idx="136">
                  <c:v>46.58314382848598</c:v>
                </c:pt>
                <c:pt idx="137">
                  <c:v>46.226669209210101</c:v>
                </c:pt>
                <c:pt idx="138">
                  <c:v>45.871464338237438</c:v>
                </c:pt>
                <c:pt idx="139">
                  <c:v>45.517578685470326</c:v>
                </c:pt>
                <c:pt idx="140">
                  <c:v>45.165061437697894</c:v>
                </c:pt>
                <c:pt idx="141">
                  <c:v>44.813961426723736</c:v>
                </c:pt>
                <c:pt idx="142">
                  <c:v>44.46432705260105</c:v>
                </c:pt>
                <c:pt idx="143">
                  <c:v>44.11620620219756</c:v>
                </c:pt>
                <c:pt idx="144">
                  <c:v>43.769646163363369</c:v>
                </c:pt>
                <c:pt idx="145">
                  <c:v>43.424693535031139</c:v>
                </c:pt>
                <c:pt idx="146">
                  <c:v>43.081394133629729</c:v>
                </c:pt>
                <c:pt idx="147">
                  <c:v>42.739792896249178</c:v>
                </c:pt>
                <c:pt idx="148">
                  <c:v>42.399933781043792</c:v>
                </c:pt>
                <c:pt idx="149">
                  <c:v>42.061859665415689</c:v>
                </c:pt>
                <c:pt idx="150">
                  <c:v>41.725612242567834</c:v>
                </c:pt>
                <c:pt idx="151">
                  <c:v>41.391231917060757</c:v>
                </c:pt>
                <c:pt idx="152">
                  <c:v>41.05875770004873</c:v>
                </c:pt>
                <c:pt idx="153">
                  <c:v>40.728227104907553</c:v>
                </c:pt>
                <c:pt idx="154">
                  <c:v>40.399676043994106</c:v>
                </c:pt>
                <c:pt idx="155">
                  <c:v>40.0731387273023</c:v>
                </c:pt>
                <c:pt idx="156">
                  <c:v>39.748647563793952</c:v>
                </c:pt>
                <c:pt idx="157">
                  <c:v>39.426233066189972</c:v>
                </c:pt>
                <c:pt idx="158">
                  <c:v>39.105923760006824</c:v>
                </c:pt>
                <c:pt idx="159">
                  <c:v>38.787746097608171</c:v>
                </c:pt>
                <c:pt idx="160">
                  <c:v>38.471724378024099</c:v>
                </c:pt>
                <c:pt idx="161">
                  <c:v>38.15788067325861</c:v>
                </c:pt>
                <c:pt idx="162">
                  <c:v>37.846234761764379</c:v>
                </c:pt>
                <c:pt idx="163">
                  <c:v>37.536804069716638</c:v>
                </c:pt>
                <c:pt idx="164">
                  <c:v>37.229603620659056</c:v>
                </c:pt>
                <c:pt idx="165">
                  <c:v>36.924645994027003</c:v>
                </c:pt>
                <c:pt idx="166">
                  <c:v>36.621941292981049</c:v>
                </c:pt>
                <c:pt idx="167">
                  <c:v>36.321497121904343</c:v>
                </c:pt>
                <c:pt idx="168">
                  <c:v>36.023318573830394</c:v>
                </c:pt>
                <c:pt idx="169">
                  <c:v>35.727408227980121</c:v>
                </c:pt>
                <c:pt idx="170">
                  <c:v>35.4337661574951</c:v>
                </c:pt>
                <c:pt idx="171">
                  <c:v>35.142389947360641</c:v>
                </c:pt>
                <c:pt idx="172">
                  <c:v>34.853274722421034</c:v>
                </c:pt>
                <c:pt idx="173">
                  <c:v>34.56641318529585</c:v>
                </c:pt>
                <c:pt idx="174">
                  <c:v>34.281795663920448</c:v>
                </c:pt>
                <c:pt idx="175">
                  <c:v>33.999410168350408</c:v>
                </c:pt>
                <c:pt idx="176">
                  <c:v>33.719242456390134</c:v>
                </c:pt>
                <c:pt idx="177">
                  <c:v>33.441276107534691</c:v>
                </c:pt>
                <c:pt idx="178">
                  <c:v>33.165492604652627</c:v>
                </c:pt>
                <c:pt idx="179">
                  <c:v>32.891871422777669</c:v>
                </c:pt>
                <c:pt idx="180">
                  <c:v>32.620390124336765</c:v>
                </c:pt>
                <c:pt idx="181">
                  <c:v>32.351024460099033</c:v>
                </c:pt>
                <c:pt idx="182">
                  <c:v>32.083748475105637</c:v>
                </c:pt>
                <c:pt idx="183">
                  <c:v>31.818534618823829</c:v>
                </c:pt>
                <c:pt idx="184">
                  <c:v>31.555353858756607</c:v>
                </c:pt>
                <c:pt idx="185">
                  <c:v>31.294175796743119</c:v>
                </c:pt>
                <c:pt idx="186">
                  <c:v>31.034968787192515</c:v>
                </c:pt>
                <c:pt idx="187">
                  <c:v>30.777700056512888</c:v>
                </c:pt>
                <c:pt idx="188">
                  <c:v>30.522335823018988</c:v>
                </c:pt>
                <c:pt idx="189">
                  <c:v>30.26884141663804</c:v>
                </c:pt>
                <c:pt idx="190">
                  <c:v>30.017181397766194</c:v>
                </c:pt>
                <c:pt idx="191">
                  <c:v>29.767319674671896</c:v>
                </c:pt>
                <c:pt idx="192">
                  <c:v>29.519219618889124</c:v>
                </c:pt>
                <c:pt idx="193">
                  <c:v>29.272844178090335</c:v>
                </c:pt>
                <c:pt idx="194">
                  <c:v>29.028155985982401</c:v>
                </c:pt>
                <c:pt idx="195">
                  <c:v>28.785117468819603</c:v>
                </c:pt>
                <c:pt idx="196">
                  <c:v>28.543690948181606</c:v>
                </c:pt>
                <c:pt idx="197">
                  <c:v>28.30383873971688</c:v>
                </c:pt>
                <c:pt idx="198">
                  <c:v>28.065523247603892</c:v>
                </c:pt>
                <c:pt idx="199">
                  <c:v>27.828707054532256</c:v>
                </c:pt>
                <c:pt idx="200">
                  <c:v>27.593353007055356</c:v>
                </c:pt>
                <c:pt idx="201">
                  <c:v>27.359424296211934</c:v>
                </c:pt>
                <c:pt idx="202">
                  <c:v>27.126884533354499</c:v>
                </c:pt>
                <c:pt idx="203">
                  <c:v>26.895697821168064</c:v>
                </c:pt>
                <c:pt idx="204">
                  <c:v>26.665828819893139</c:v>
                </c:pt>
                <c:pt idx="205">
                  <c:v>26.43724280880533</c:v>
                </c:pt>
                <c:pt idx="206">
                  <c:v>26.209905743031307</c:v>
                </c:pt>
                <c:pt idx="207">
                  <c:v>25.983784305807959</c:v>
                </c:pt>
                <c:pt idx="208">
                  <c:v>25.758845956314914</c:v>
                </c:pt>
                <c:pt idx="209">
                  <c:v>25.535058973230203</c:v>
                </c:pt>
                <c:pt idx="210">
                  <c:v>25.312392494175228</c:v>
                </c:pt>
                <c:pt idx="211">
                  <c:v>25.090816551227469</c:v>
                </c:pt>
                <c:pt idx="212">
                  <c:v>24.870302102693525</c:v>
                </c:pt>
                <c:pt idx="213">
                  <c:v>24.65082106133698</c:v>
                </c:pt>
                <c:pt idx="214">
                  <c:v>24.43234631926596</c:v>
                </c:pt>
                <c:pt idx="215">
                  <c:v>24.214851769686131</c:v>
                </c:pt>
                <c:pt idx="216">
                  <c:v>23.998312325723678</c:v>
                </c:pt>
                <c:pt idx="217">
                  <c:v>23.782703936525312</c:v>
                </c:pt>
                <c:pt idx="218">
                  <c:v>23.568003600836136</c:v>
                </c:pt>
                <c:pt idx="219">
                  <c:v>23.354189378253487</c:v>
                </c:pt>
                <c:pt idx="220">
                  <c:v>23.141240398347954</c:v>
                </c:pt>
                <c:pt idx="221">
                  <c:v>22.929136867836341</c:v>
                </c:pt>
                <c:pt idx="222">
                  <c:v>22.717860075982973</c:v>
                </c:pt>
                <c:pt idx="223">
                  <c:v>22.507392398397066</c:v>
                </c:pt>
                <c:pt idx="224">
                  <c:v>22.297717299382832</c:v>
                </c:pt>
                <c:pt idx="225">
                  <c:v>22.088819332991378</c:v>
                </c:pt>
                <c:pt idx="226">
                  <c:v>21.880684142909104</c:v>
                </c:pt>
                <c:pt idx="227">
                  <c:v>21.673298461308566</c:v>
                </c:pt>
                <c:pt idx="228">
                  <c:v>21.466650106776235</c:v>
                </c:pt>
                <c:pt idx="229">
                  <c:v>21.260727981416711</c:v>
                </c:pt>
                <c:pt idx="230">
                  <c:v>21.055522067224949</c:v>
                </c:pt>
                <c:pt idx="231">
                  <c:v>20.851023421802687</c:v>
                </c:pt>
                <c:pt idx="232">
                  <c:v>20.647224173484577</c:v>
                </c:pt>
                <c:pt idx="233">
                  <c:v>20.444117515925818</c:v>
                </c:pt>
                <c:pt idx="234">
                  <c:v>20.241697702192848</c:v>
                </c:pt>
                <c:pt idx="235">
                  <c:v>20.039960038382443</c:v>
                </c:pt>
                <c:pt idx="236">
                  <c:v>19.838900876786745</c:v>
                </c:pt>
                <c:pt idx="237">
                  <c:v>19.638517608604602</c:v>
                </c:pt>
                <c:pt idx="238">
                  <c:v>19.438808656190961</c:v>
                </c:pt>
                <c:pt idx="239">
                  <c:v>19.239773464822182</c:v>
                </c:pt>
                <c:pt idx="240">
                  <c:v>19.041412493940147</c:v>
                </c:pt>
                <c:pt idx="241">
                  <c:v>18.843727207832544</c:v>
                </c:pt>
                <c:pt idx="242">
                  <c:v>18.646720065686498</c:v>
                </c:pt>
                <c:pt idx="243">
                  <c:v>18.450394510946644</c:v>
                </c:pt>
                <c:pt idx="244">
                  <c:v>18.254754959894484</c:v>
                </c:pt>
                <c:pt idx="245">
                  <c:v>18.059806789353239</c:v>
                </c:pt>
                <c:pt idx="246">
                  <c:v>17.865556323414179</c:v>
                </c:pt>
                <c:pt idx="247">
                  <c:v>17.67201081906488</c:v>
                </c:pt>
                <c:pt idx="248">
                  <c:v>17.479178450593036</c:v>
                </c:pt>
                <c:pt idx="249">
                  <c:v>17.287068292626223</c:v>
                </c:pt>
                <c:pt idx="250">
                  <c:v>17.095690301660081</c:v>
                </c:pt>
                <c:pt idx="251">
                  <c:v>16.905055295915936</c:v>
                </c:pt>
                <c:pt idx="252">
                  <c:v>16.715174933362778</c:v>
                </c:pt>
                <c:pt idx="253">
                  <c:v>16.526061687728294</c:v>
                </c:pt>
                <c:pt idx="254">
                  <c:v>16.337728822319065</c:v>
                </c:pt>
                <c:pt idx="255">
                  <c:v>16.150190361461878</c:v>
                </c:pt>
                <c:pt idx="256">
                  <c:v>15.963461059377359</c:v>
                </c:pt>
                <c:pt idx="257">
                  <c:v>15.777556366288918</c:v>
                </c:pt>
                <c:pt idx="258">
                  <c:v>15.592492391575352</c:v>
                </c:pt>
                <c:pt idx="259">
                  <c:v>15.408285863769819</c:v>
                </c:pt>
                <c:pt idx="260">
                  <c:v>15.224954087213813</c:v>
                </c:pt>
                <c:pt idx="261">
                  <c:v>15.042514895181132</c:v>
                </c:pt>
                <c:pt idx="262">
                  <c:v>14.8609865992895</c:v>
                </c:pt>
                <c:pt idx="263">
                  <c:v>14.680387935032568</c:v>
                </c:pt>
                <c:pt idx="264">
                  <c:v>14.500738003276068</c:v>
                </c:pt>
                <c:pt idx="265">
                  <c:v>14.322056207576715</c:v>
                </c:pt>
                <c:pt idx="266">
                  <c:v>14.144362187205068</c:v>
                </c:pt>
                <c:pt idx="267">
                  <c:v>13.967675745774613</c:v>
                </c:pt>
                <c:pt idx="268">
                  <c:v>13.792016775406546</c:v>
                </c:pt>
                <c:pt idx="269">
                  <c:v>13.617405176389639</c:v>
                </c:pt>
                <c:pt idx="270">
                  <c:v>13.443860772329622</c:v>
                </c:pt>
                <c:pt idx="271">
                  <c:v>13.271403220821272</c:v>
                </c:pt>
                <c:pt idx="272">
                  <c:v>13.100051919715289</c:v>
                </c:pt>
                <c:pt idx="273">
                  <c:v>12.929825909101373</c:v>
                </c:pt>
                <c:pt idx="274">
                  <c:v>12.760743769174205</c:v>
                </c:pt>
                <c:pt idx="275">
                  <c:v>12.592823514204882</c:v>
                </c:pt>
                <c:pt idx="276">
                  <c:v>12.426082482893232</c:v>
                </c:pt>
                <c:pt idx="277">
                  <c:v>12.260537225433003</c:v>
                </c:pt>
                <c:pt idx="278">
                  <c:v>12.096203387686302</c:v>
                </c:pt>
                <c:pt idx="279">
                  <c:v>11.933095592917615</c:v>
                </c:pt>
                <c:pt idx="280">
                  <c:v>11.771227321607984</c:v>
                </c:pt>
                <c:pt idx="281">
                  <c:v>11.610610789922472</c:v>
                </c:pt>
                <c:pt idx="282">
                  <c:v>11.451256827472132</c:v>
                </c:pt>
                <c:pt idx="283">
                  <c:v>11.293174755066959</c:v>
                </c:pt>
                <c:pt idx="284">
                  <c:v>11.136372263213254</c:v>
                </c:pt>
                <c:pt idx="285">
                  <c:v>10.980855292160463</c:v>
                </c:pt>
                <c:pt idx="286">
                  <c:v>10.826627914352493</c:v>
                </c:pt>
                <c:pt idx="287">
                  <c:v>10.673692220175599</c:v>
                </c:pt>
                <c:pt idx="288">
                  <c:v>10.52204820793462</c:v>
                </c:pt>
                <c:pt idx="289">
                  <c:v>10.371693679012166</c:v>
                </c:pt>
                <c:pt idx="290">
                  <c:v>10.222624139185655</c:v>
                </c:pt>
                <c:pt idx="291">
                  <c:v>10.074832707083774</c:v>
                </c:pt>
                <c:pt idx="292">
                  <c:v>9.9283100307627397</c:v>
                </c:pt>
                <c:pt idx="293">
                  <c:v>9.7830442133690276</c:v>
                </c:pt>
                <c:pt idx="294">
                  <c:v>9.6390207488307951</c:v>
                </c:pt>
                <c:pt idx="295">
                  <c:v>9.496222468482765</c:v>
                </c:pt>
                <c:pt idx="296">
                  <c:v>9.3546294994831083</c:v>
                </c:pt>
                <c:pt idx="297">
                  <c:v>9.2142192358180317</c:v>
                </c:pt>
                <c:pt idx="298">
                  <c:v>9.0749663226202841</c:v>
                </c:pt>
                <c:pt idx="299">
                  <c:v>8.9368426544437529</c:v>
                </c:pt>
                <c:pt idx="300">
                  <c:v>8.7998173880446888</c:v>
                </c:pt>
                <c:pt idx="301">
                  <c:v>8.6638569701154022</c:v>
                </c:pt>
                <c:pt idx="302">
                  <c:v>8.528925180308585</c:v>
                </c:pt>
                <c:pt idx="303">
                  <c:v>8.3949831897689897</c:v>
                </c:pt>
                <c:pt idx="304">
                  <c:v>8.2619896352680673</c:v>
                </c:pt>
                <c:pt idx="305">
                  <c:v>8.1299007089064723</c:v>
                </c:pt>
                <c:pt idx="306">
                  <c:v>7.9986702632191609</c:v>
                </c:pt>
                <c:pt idx="307">
                  <c:v>7.8682499313861607</c:v>
                </c:pt>
                <c:pt idx="308">
                  <c:v>7.7385892621168173</c:v>
                </c:pt>
                <c:pt idx="309">
                  <c:v>7.6096358686473238</c:v>
                </c:pt>
                <c:pt idx="310">
                  <c:v>7.4813355911652559</c:v>
                </c:pt>
                <c:pt idx="311">
                  <c:v>7.3536326718483611</c:v>
                </c:pt>
                <c:pt idx="312">
                  <c:v>7.2264699415958216</c:v>
                </c:pt>
                <c:pt idx="313">
                  <c:v>7.0997890174173346</c:v>
                </c:pt>
                <c:pt idx="314">
                  <c:v>6.9735305093505282</c:v>
                </c:pt>
                <c:pt idx="315">
                  <c:v>6.8476342356883411</c:v>
                </c:pt>
                <c:pt idx="316">
                  <c:v>6.7220394452205623</c:v>
                </c:pt>
                <c:pt idx="317">
                  <c:v>6.5966850451315215</c:v>
                </c:pt>
                <c:pt idx="318">
                  <c:v>6.4715098331426946</c:v>
                </c:pt>
                <c:pt idx="319">
                  <c:v>6.3464527324526578</c:v>
                </c:pt>
                <c:pt idx="320">
                  <c:v>6.2214530280017399</c:v>
                </c:pt>
                <c:pt idx="321">
                  <c:v>6.0964506025812231</c:v>
                </c:pt>
                <c:pt idx="322">
                  <c:v>5.9713861713088008</c:v>
                </c:pt>
                <c:pt idx="323">
                  <c:v>5.8462015130144405</c:v>
                </c:pt>
                <c:pt idx="324">
                  <c:v>5.7208396971109909</c:v>
                </c:pt>
                <c:pt idx="325">
                  <c:v>5.5952453045711836</c:v>
                </c:pt>
                <c:pt idx="326">
                  <c:v>5.4693646416941819</c:v>
                </c:pt>
                <c:pt idx="327">
                  <c:v>5.3431459454144861</c:v>
                </c:pt>
                <c:pt idx="328">
                  <c:v>5.2165395789908935</c:v>
                </c:pt>
                <c:pt idx="329">
                  <c:v>5.0894982170075469</c:v>
                </c:pt>
                <c:pt idx="330">
                  <c:v>4.9619770187212486</c:v>
                </c:pt>
                <c:pt idx="331">
                  <c:v>4.8339337889030434</c:v>
                </c:pt>
                <c:pt idx="332">
                  <c:v>4.7053291254382401</c:v>
                </c:pt>
                <c:pt idx="333">
                  <c:v>4.5761265530737285</c:v>
                </c:pt>
                <c:pt idx="334">
                  <c:v>4.446292642829162</c:v>
                </c:pt>
                <c:pt idx="335">
                  <c:v>4.315797116717027</c:v>
                </c:pt>
                <c:pt idx="336">
                  <c:v>4.1846129375475547</c:v>
                </c:pt>
                <c:pt idx="337">
                  <c:v>4.0527163837230233</c:v>
                </c:pt>
                <c:pt idx="338">
                  <c:v>3.9200871090508675</c:v>
                </c:pt>
                <c:pt idx="339">
                  <c:v>3.7867081877291708</c:v>
                </c:pt>
                <c:pt idx="340">
                  <c:v>3.652566144771654</c:v>
                </c:pt>
                <c:pt idx="341">
                  <c:v>3.5176509722494349</c:v>
                </c:pt>
                <c:pt idx="342">
                  <c:v>3.3819561318264961</c:v>
                </c:pt>
                <c:pt idx="343">
                  <c:v>3.2454785441567053</c:v>
                </c:pt>
                <c:pt idx="344">
                  <c:v>3.1082185657906525</c:v>
                </c:pt>
                <c:pt idx="345">
                  <c:v>2.9701799543106739</c:v>
                </c:pt>
                <c:pt idx="346">
                  <c:v>2.83136982246595</c:v>
                </c:pt>
                <c:pt idx="347">
                  <c:v>2.6917985821312658</c:v>
                </c:pt>
                <c:pt idx="348">
                  <c:v>2.5514798789404516</c:v>
                </c:pt>
                <c:pt idx="349">
                  <c:v>2.4104305184688806</c:v>
                </c:pt>
                <c:pt idx="350">
                  <c:v>2.2686703848493943</c:v>
                </c:pt>
                <c:pt idx="351">
                  <c:v>2.1262223527013551</c:v>
                </c:pt>
                <c:pt idx="352">
                  <c:v>1.9831121932425098</c:v>
                </c:pt>
                <c:pt idx="353">
                  <c:v>1.8393684754259363</c:v>
                </c:pt>
                <c:pt idx="354">
                  <c:v>1.6950224629172808</c:v>
                </c:pt>
                <c:pt idx="355">
                  <c:v>1.5501080076806915</c:v>
                </c:pt>
                <c:pt idx="356">
                  <c:v>1.4046614408999694</c:v>
                </c:pt>
                <c:pt idx="357">
                  <c:v>1.2587214619015741</c:v>
                </c:pt>
                <c:pt idx="358">
                  <c:v>1.1123290256927916</c:v>
                </c:pt>
                <c:pt idx="359">
                  <c:v>0.96552722966052762</c:v>
                </c:pt>
                <c:pt idx="360">
                  <c:v>0.81836119991247358</c:v>
                </c:pt>
                <c:pt idx="361">
                  <c:v>0.67087797767767465</c:v>
                </c:pt>
                <c:pt idx="362">
                  <c:v>0.52312640611067673</c:v>
                </c:pt>
                <c:pt idx="363">
                  <c:v>0.37515701777957372</c:v>
                </c:pt>
                <c:pt idx="364">
                  <c:v>0.22702192305231625</c:v>
                </c:pt>
                <c:pt idx="365">
                  <c:v>7.8774699530992559E-2</c:v>
                </c:pt>
                <c:pt idx="366">
                  <c:v>-6.9529717377783878E-2</c:v>
                </c:pt>
                <c:pt idx="367">
                  <c:v>-0.21783514272185456</c:v>
                </c:pt>
                <c:pt idx="368">
                  <c:v>-0.36608424911189491</c:v>
                </c:pt>
                <c:pt idx="369">
                  <c:v>-0.51421867274588595</c:v>
                </c:pt>
                <c:pt idx="370">
                  <c:v>-0.66217911845814481</c:v>
                </c:pt>
                <c:pt idx="371">
                  <c:v>-0.80990546393506779</c:v>
                </c:pt>
                <c:pt idx="372">
                  <c:v>-0.95733686327389855</c:v>
                </c:pt>
                <c:pt idx="373">
                  <c:v>-1.1044118500771918</c:v>
                </c:pt>
                <c:pt idx="374">
                  <c:v>-1.2510684402980896</c:v>
                </c:pt>
                <c:pt idx="375">
                  <c:v>-1.3972442350569376</c:v>
                </c:pt>
                <c:pt idx="376">
                  <c:v>-1.5428765236546482</c:v>
                </c:pt>
                <c:pt idx="377">
                  <c:v>-1.6879023870006851</c:v>
                </c:pt>
                <c:pt idx="378">
                  <c:v>-1.8322588016690369</c:v>
                </c:pt>
                <c:pt idx="379">
                  <c:v>-1.9758827447704366</c:v>
                </c:pt>
                <c:pt idx="380">
                  <c:v>-2.1187112998098359</c:v>
                </c:pt>
                <c:pt idx="381">
                  <c:v>-2.2606817636692522</c:v>
                </c:pt>
                <c:pt idx="382">
                  <c:v>-2.4017317548166099</c:v>
                </c:pt>
                <c:pt idx="383">
                  <c:v>-2.5417993228051534</c:v>
                </c:pt>
                <c:pt idx="384">
                  <c:v>-2.6808230590788416</c:v>
                </c:pt>
                <c:pt idx="385">
                  <c:v>-2.8187422090545162</c:v>
                </c:pt>
                <c:pt idx="386">
                  <c:v>-2.9554967853941068</c:v>
                </c:pt>
                <c:pt idx="387">
                  <c:v>-3.0910276823298002</c:v>
                </c:pt>
                <c:pt idx="388">
                  <c:v>-3.2252767908446178</c:v>
                </c:pt>
                <c:pt idx="389">
                  <c:v>-3.3581871144556317</c:v>
                </c:pt>
                <c:pt idx="390">
                  <c:v>-3.4897028852874938</c:v>
                </c:pt>
                <c:pt idx="391">
                  <c:v>-3.6197696800693233</c:v>
                </c:pt>
                <c:pt idx="392">
                  <c:v>-3.7483345356300095</c:v>
                </c:pt>
                <c:pt idx="393">
                  <c:v>-3.8753460634207877</c:v>
                </c:pt>
                <c:pt idx="394">
                  <c:v>-4.0007545625391137</c:v>
                </c:pt>
                <c:pt idx="395">
                  <c:v>-4.1245121306924624</c:v>
                </c:pt>
                <c:pt idx="396">
                  <c:v>-4.2465727724997446</c:v>
                </c:pt>
                <c:pt idx="397">
                  <c:v>-4.3668925044993081</c:v>
                </c:pt>
                <c:pt idx="398">
                  <c:v>-4.4854294562120982</c:v>
                </c:pt>
                <c:pt idx="399">
                  <c:v>-4.6021439665941157</c:v>
                </c:pt>
                <c:pt idx="400">
                  <c:v>-4.7169986752071074</c:v>
                </c:pt>
                <c:pt idx="401">
                  <c:v>-4.8299586074438681</c:v>
                </c:pt>
                <c:pt idx="402">
                  <c:v>-4.9409912531577094</c:v>
                </c:pt>
                <c:pt idx="403">
                  <c:v>-5.050066638070466</c:v>
                </c:pt>
                <c:pt idx="404">
                  <c:v>-5.1571573873699093</c:v>
                </c:pt>
                <c:pt idx="405">
                  <c:v>-5.2622387809474791</c:v>
                </c:pt>
                <c:pt idx="406">
                  <c:v>-5.365288799786847</c:v>
                </c:pt>
                <c:pt idx="407">
                  <c:v>-5.4662881630661513</c:v>
                </c:pt>
                <c:pt idx="408">
                  <c:v>-5.5652203556166215</c:v>
                </c:pt>
                <c:pt idx="409">
                  <c:v>-5.6620716454447688</c:v>
                </c:pt>
                <c:pt idx="410">
                  <c:v>-5.7568310911147087</c:v>
                </c:pt>
                <c:pt idx="411">
                  <c:v>-5.8494905388688601</c:v>
                </c:pt>
                <c:pt idx="412">
                  <c:v>-5.9400446094499095</c:v>
                </c:pt>
                <c:pt idx="413">
                  <c:v>-6.0284906746832032</c:v>
                </c:pt>
                <c:pt idx="414">
                  <c:v>-6.1148288239601856</c:v>
                </c:pt>
                <c:pt idx="415">
                  <c:v>-6.1990618208558734</c:v>
                </c:pt>
                <c:pt idx="416">
                  <c:v>-6.2811950501961809</c:v>
                </c:pt>
                <c:pt idx="417">
                  <c:v>-6.3612364559697232</c:v>
                </c:pt>
                <c:pt idx="418">
                  <c:v>-6.4391964705578388</c:v>
                </c:pt>
                <c:pt idx="419">
                  <c:v>-6.5150879358182747</c:v>
                </c:pt>
                <c:pt idx="420">
                  <c:v>-6.5889260166265204</c:v>
                </c:pt>
                <c:pt idx="421">
                  <c:v>-6.6607281075228038</c:v>
                </c:pt>
                <c:pt idx="422">
                  <c:v>-6.730513733167081</c:v>
                </c:pt>
                <c:pt idx="423">
                  <c:v>-6.7983044433253674</c:v>
                </c:pt>
                <c:pt idx="424">
                  <c:v>-6.8641237031507618</c:v>
                </c:pt>
                <c:pt idx="425">
                  <c:v>-6.9279967795253352</c:v>
                </c:pt>
                <c:pt idx="426">
                  <c:v>-6.9899506242439999</c:v>
                </c:pt>
                <c:pt idx="427">
                  <c:v>-7.0500137548145956</c:v>
                </c:pt>
                <c:pt idx="428">
                  <c:v>-7.1082161336394147</c:v>
                </c:pt>
                <c:pt idx="429">
                  <c:v>-7.1645890463219644</c:v>
                </c:pt>
                <c:pt idx="430">
                  <c:v>-7.2191649798205537</c:v>
                </c:pt>
                <c:pt idx="431">
                  <c:v>-7.2719775011325911</c:v>
                </c:pt>
                <c:pt idx="432">
                  <c:v>-7.3230611371610088</c:v>
                </c:pt>
                <c:pt idx="433">
                  <c:v>-7.3724512563645863</c:v>
                </c:pt>
                <c:pt idx="434">
                  <c:v>-7.4201839527537068</c:v>
                </c:pt>
                <c:pt idx="435">
                  <c:v>-7.4662959327396274</c:v>
                </c:pt>
                <c:pt idx="436">
                  <c:v>-7.5108244052935937</c:v>
                </c:pt>
                <c:pt idx="437">
                  <c:v>-7.5538069758214563</c:v>
                </c:pt>
                <c:pt idx="438">
                  <c:v>-7.5952815441050472</c:v>
                </c:pt>
                <c:pt idx="439">
                  <c:v>-7.6352862066071197</c:v>
                </c:pt>
                <c:pt idx="440">
                  <c:v>-7.6738591633872257</c:v>
                </c:pt>
                <c:pt idx="441">
                  <c:v>-7.7110386298241007</c:v>
                </c:pt>
                <c:pt idx="442">
                  <c:v>-7.7468627532922376</c:v>
                </c:pt>
                <c:pt idx="443">
                  <c:v>-7.7813695348928826</c:v>
                </c:pt>
                <c:pt idx="444">
                  <c:v>-7.8145967562998067</c:v>
                </c:pt>
                <c:pt idx="445">
                  <c:v>-7.8465819117360693</c:v>
                </c:pt>
                <c:pt idx="446">
                  <c:v>-7.8773621450657361</c:v>
                </c:pt>
                <c:pt idx="447">
                  <c:v>-7.9069741919468619</c:v>
                </c:pt>
                <c:pt idx="448">
                  <c:v>-7.9354543269652087</c:v>
                </c:pt>
                <c:pt idx="449">
                  <c:v>-7.9628383156398428</c:v>
                </c:pt>
                <c:pt idx="450">
                  <c:v>-7.9891613711695708</c:v>
                </c:pt>
                <c:pt idx="451">
                  <c:v>-8.0144581157698731</c:v>
                </c:pt>
                <c:pt idx="452">
                  <c:v>-8.0387625464307142</c:v>
                </c:pt>
                <c:pt idx="453">
                  <c:v>-8.0621080049159861</c:v>
                </c:pt>
                <c:pt idx="454">
                  <c:v>-8.0845271518109705</c:v>
                </c:pt>
                <c:pt idx="455">
                  <c:v>-8.1060519444178585</c:v>
                </c:pt>
                <c:pt idx="456">
                  <c:v>-8.1267136182942536</c:v>
                </c:pt>
                <c:pt idx="457">
                  <c:v>-8.1465426722236813</c:v>
                </c:pt>
                <c:pt idx="458">
                  <c:v>-8.1655688564079441</c:v>
                </c:pt>
                <c:pt idx="459">
                  <c:v>-8.183821163671837</c:v>
                </c:pt>
                <c:pt idx="460">
                  <c:v>-8.2013278234694162</c:v>
                </c:pt>
                <c:pt idx="461">
                  <c:v>-8.2181162984880931</c:v>
                </c:pt>
                <c:pt idx="462">
                  <c:v>-8.2342132836496482</c:v>
                </c:pt>
                <c:pt idx="463">
                  <c:v>-8.249644707312827</c:v>
                </c:pt>
                <c:pt idx="464">
                  <c:v>-8.2644357344867121</c:v>
                </c:pt>
                <c:pt idx="465">
                  <c:v>-8.2786107718774211</c:v>
                </c:pt>
                <c:pt idx="466">
                  <c:v>-8.2921934745893253</c:v>
                </c:pt>
                <c:pt idx="467">
                  <c:v>-8.3052067543169912</c:v>
                </c:pt>
                <c:pt idx="468">
                  <c:v>-8.3176727888700466</c:v>
                </c:pt>
                <c:pt idx="469">
                  <c:v>-8.3296130328791183</c:v>
                </c:pt>
                <c:pt idx="470">
                  <c:v>-8.3410482295457804</c:v>
                </c:pt>
                <c:pt idx="471">
                  <c:v>-8.3519984232998681</c:v>
                </c:pt>
                <c:pt idx="472">
                  <c:v>-8.3624829732431376</c:v>
                </c:pt>
                <c:pt idx="473">
                  <c:v>-8.3725205672625336</c:v>
                </c:pt>
                <c:pt idx="474">
                  <c:v>-8.3821292367056337</c:v>
                </c:pt>
                <c:pt idx="475">
                  <c:v>-8.3913263715184208</c:v>
                </c:pt>
                <c:pt idx="476">
                  <c:v>-8.400128735755219</c:v>
                </c:pt>
                <c:pt idx="477">
                  <c:v>-8.408552483372473</c:v>
                </c:pt>
                <c:pt idx="478">
                  <c:v>-8.4166131742337082</c:v>
                </c:pt>
                <c:pt idx="479">
                  <c:v>-8.424325790251828</c:v>
                </c:pt>
                <c:pt idx="480">
                  <c:v>-8.4317047516040251</c:v>
                </c:pt>
                <c:pt idx="481">
                  <c:v>-8.4387639329637594</c:v>
                </c:pt>
                <c:pt idx="482">
                  <c:v>-8.4455166796947161</c:v>
                </c:pt>
                <c:pt idx="483">
                  <c:v>-8.4519758239606766</c:v>
                </c:pt>
                <c:pt idx="484">
                  <c:v>-8.4581537007090564</c:v>
                </c:pt>
                <c:pt idx="485">
                  <c:v>-8.464062163490345</c:v>
                </c:pt>
                <c:pt idx="486">
                  <c:v>-8.4697126000803866</c:v>
                </c:pt>
                <c:pt idx="487">
                  <c:v>-8.4751159478772937</c:v>
                </c:pt>
                <c:pt idx="488">
                  <c:v>-8.4802827090466568</c:v>
                </c:pt>
                <c:pt idx="489">
                  <c:v>-8.4852229653935041</c:v>
                </c:pt>
                <c:pt idx="490">
                  <c:v>-8.4899463929435903</c:v>
                </c:pt>
                <c:pt idx="491">
                  <c:v>-8.4944622762165487</c:v>
                </c:pt>
                <c:pt idx="492">
                  <c:v>-8.4987795221795608</c:v>
                </c:pt>
                <c:pt idx="493">
                  <c:v>-8.5029066738703758</c:v>
                </c:pt>
                <c:pt idx="494">
                  <c:v>-8.5068519236817561</c:v>
                </c:pt>
                <c:pt idx="495">
                  <c:v>-8.5106231263001888</c:v>
                </c:pt>
                <c:pt idx="496">
                  <c:v>-8.5142278112967631</c:v>
                </c:pt>
                <c:pt idx="497">
                  <c:v>-8.5176731953644804</c:v>
                </c:pt>
                <c:pt idx="498">
                  <c:v>-8.5209661942034938</c:v>
                </c:pt>
                <c:pt idx="499">
                  <c:v>-8.5241134340529108</c:v>
                </c:pt>
                <c:pt idx="500">
                  <c:v>-8.5271212628708408</c:v>
                </c:pt>
                <c:pt idx="501">
                  <c:v>-8.5299957611650328</c:v>
                </c:pt>
                <c:pt idx="502">
                  <c:v>-8.5327427524774855</c:v>
                </c:pt>
                <c:pt idx="503">
                  <c:v>-8.5353678135268769</c:v>
                </c:pt>
                <c:pt idx="504">
                  <c:v>-8.5378762840143985</c:v>
                </c:pt>
                <c:pt idx="505">
                  <c:v>-8.5402732760967446</c:v>
                </c:pt>
                <c:pt idx="506">
                  <c:v>-8.5425636835344694</c:v>
                </c:pt>
                <c:pt idx="507">
                  <c:v>-8.5447521905197341</c:v>
                </c:pt>
                <c:pt idx="508">
                  <c:v>-8.5468432801921779</c:v>
                </c:pt>
                <c:pt idx="509">
                  <c:v>-8.5488412428492406</c:v>
                </c:pt>
                <c:pt idx="510">
                  <c:v>-8.5507501838566888</c:v>
                </c:pt>
                <c:pt idx="511">
                  <c:v>-8.5525740312709395</c:v>
                </c:pt>
                <c:pt idx="512">
                  <c:v>-8.5543165431752044</c:v>
                </c:pt>
                <c:pt idx="513">
                  <c:v>-8.555981314742624</c:v>
                </c:pt>
                <c:pt idx="514">
                  <c:v>-8.5575717850301753</c:v>
                </c:pt>
                <c:pt idx="515">
                  <c:v>-8.5590912435136133</c:v>
                </c:pt>
                <c:pt idx="516">
                  <c:v>-8.5605428363700682</c:v>
                </c:pt>
                <c:pt idx="517">
                  <c:v>-8.5619295725160267</c:v>
                </c:pt>
                <c:pt idx="518">
                  <c:v>-8.5632543294098955</c:v>
                </c:pt>
                <c:pt idx="519">
                  <c:v>-8.5645198586247577</c:v>
                </c:pt>
                <c:pt idx="520">
                  <c:v>-8.565728791200101</c:v>
                </c:pt>
                <c:pt idx="521">
                  <c:v>-8.5668836427792385</c:v>
                </c:pt>
                <c:pt idx="522">
                  <c:v>-8.5679868185422734</c:v>
                </c:pt>
                <c:pt idx="523">
                  <c:v>-8.569040617936599</c:v>
                </c:pt>
                <c:pt idx="524">
                  <c:v>-8.5700472392172689</c:v>
                </c:pt>
                <c:pt idx="525">
                  <c:v>-8.5710087838018048</c:v>
                </c:pt>
                <c:pt idx="526">
                  <c:v>-8.5719272604451611</c:v>
                </c:pt>
                <c:pt idx="527">
                  <c:v>-8.5728045892437628</c:v>
                </c:pt>
                <c:pt idx="528">
                  <c:v>-8.5736426054736707</c:v>
                </c:pt>
                <c:pt idx="529">
                  <c:v>-8.5744430632680491</c:v>
                </c:pt>
                <c:pt idx="530">
                  <c:v>-8.5752076391428904</c:v>
                </c:pt>
                <c:pt idx="531">
                  <c:v>-8.5759379353733891</c:v>
                </c:pt>
                <c:pt idx="532">
                  <c:v>-8.5766354832303104</c:v>
                </c:pt>
                <c:pt idx="533">
                  <c:v>-8.577301746078005</c:v>
                </c:pt>
                <c:pt idx="534">
                  <c:v>-8.5779381223427542</c:v>
                </c:pt>
                <c:pt idx="535">
                  <c:v>-8.5785459483547388</c:v>
                </c:pt>
                <c:pt idx="536">
                  <c:v>-8.5791265010690694</c:v>
                </c:pt>
                <c:pt idx="537">
                  <c:v>-8.5796810006706021</c:v>
                </c:pt>
                <c:pt idx="538">
                  <c:v>-8.5802106130681839</c:v>
                </c:pt>
                <c:pt idx="539">
                  <c:v>-8.580716452280603</c:v>
                </c:pt>
                <c:pt idx="540">
                  <c:v>-8.5811995827218528</c:v>
                </c:pt>
                <c:pt idx="541">
                  <c:v>-8.581661021386136</c:v>
                </c:pt>
              </c:numCache>
            </c:numRef>
          </c:yVal>
          <c:smooth val="1"/>
          <c:extLst>
            <c:ext xmlns:c16="http://schemas.microsoft.com/office/drawing/2014/chart" uri="{C3380CC4-5D6E-409C-BE32-E72D297353CC}">
              <c16:uniqueId val="{00000000-F11A-4C29-9835-786B9CEC5C6A}"/>
            </c:ext>
          </c:extLst>
        </c:ser>
        <c:dLbls>
          <c:showLegendKey val="0"/>
          <c:showVal val="0"/>
          <c:showCatName val="0"/>
          <c:showSerName val="0"/>
          <c:showPercent val="0"/>
          <c:showBubbleSize val="0"/>
        </c:dLbls>
        <c:axId val="555344640"/>
        <c:axId val="555346560"/>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75.371976410431373</c:v>
                </c:pt>
                <c:pt idx="1">
                  <c:v>75.05046509260103</c:v>
                </c:pt>
                <c:pt idx="2">
                  <c:v>74.72275028472913</c:v>
                </c:pt>
                <c:pt idx="3">
                  <c:v>74.388769342360419</c:v>
                </c:pt>
                <c:pt idx="4">
                  <c:v>74.048462912325391</c:v>
                </c:pt>
                <c:pt idx="5">
                  <c:v>73.701775234371965</c:v>
                </c:pt>
                <c:pt idx="6">
                  <c:v>73.34865445491711</c:v>
                </c:pt>
                <c:pt idx="7">
                  <c:v>72.989052952656081</c:v>
                </c:pt>
                <c:pt idx="8">
                  <c:v>72.622927675668691</c:v>
                </c:pt>
                <c:pt idx="9">
                  <c:v>72.250240489553946</c:v>
                </c:pt>
                <c:pt idx="10">
                  <c:v>71.870958536012893</c:v>
                </c:pt>
                <c:pt idx="11">
                  <c:v>71.485054601166709</c:v>
                </c:pt>
                <c:pt idx="12">
                  <c:v>71.092507492777813</c:v>
                </c:pt>
                <c:pt idx="13">
                  <c:v>70.693302425386108</c:v>
                </c:pt>
                <c:pt idx="14">
                  <c:v>70.287431412240011</c:v>
                </c:pt>
                <c:pt idx="15">
                  <c:v>69.874893662735062</c:v>
                </c:pt>
                <c:pt idx="16">
                  <c:v>69.455695983922965</c:v>
                </c:pt>
                <c:pt idx="17">
                  <c:v>69.029853184485475</c:v>
                </c:pt>
                <c:pt idx="18">
                  <c:v>68.597388479398063</c:v>
                </c:pt>
                <c:pt idx="19">
                  <c:v>68.158333893348413</c:v>
                </c:pt>
                <c:pt idx="20">
                  <c:v>67.71273066079813</c:v>
                </c:pt>
                <c:pt idx="21">
                  <c:v>67.260629620415486</c:v>
                </c:pt>
                <c:pt idx="22">
                  <c:v>66.802091601450769</c:v>
                </c:pt>
                <c:pt idx="23">
                  <c:v>66.33718779946345</c:v>
                </c:pt>
                <c:pt idx="24">
                  <c:v>65.866000138681642</c:v>
                </c:pt>
                <c:pt idx="25">
                  <c:v>65.388621618134778</c:v>
                </c:pt>
                <c:pt idx="26">
                  <c:v>64.905156638599919</c:v>
                </c:pt>
                <c:pt idx="27">
                  <c:v>64.415721307299904</c:v>
                </c:pt>
                <c:pt idx="28">
                  <c:v>63.920443717234789</c:v>
                </c:pt>
                <c:pt idx="29">
                  <c:v>63.419464197976367</c:v>
                </c:pt>
                <c:pt idx="30">
                  <c:v>62.912935534754872</c:v>
                </c:pt>
                <c:pt idx="31">
                  <c:v>62.401023152676039</c:v>
                </c:pt>
                <c:pt idx="32">
                  <c:v>61.883905262979091</c:v>
                </c:pt>
                <c:pt idx="33">
                  <c:v>61.361772968326704</c:v>
                </c:pt>
                <c:pt idx="34">
                  <c:v>60.834830324267671</c:v>
                </c:pt>
                <c:pt idx="35">
                  <c:v>60.303294354181375</c:v>
                </c:pt>
                <c:pt idx="36">
                  <c:v>59.767395015240709</c:v>
                </c:pt>
                <c:pt idx="37">
                  <c:v>59.227375113193517</c:v>
                </c:pt>
                <c:pt idx="38">
                  <c:v>58.683490164066249</c:v>
                </c:pt>
                <c:pt idx="39">
                  <c:v>58.136008201251471</c:v>
                </c:pt>
                <c:pt idx="40">
                  <c:v>57.585209526822069</c:v>
                </c:pt>
                <c:pt idx="41">
                  <c:v>57.031386406339323</c:v>
                </c:pt>
                <c:pt idx="42">
                  <c:v>56.474842706892588</c:v>
                </c:pt>
                <c:pt idx="43">
                  <c:v>55.915893478574908</c:v>
                </c:pt>
                <c:pt idx="44">
                  <c:v>55.354864480122302</c:v>
                </c:pt>
                <c:pt idx="45">
                  <c:v>54.792091649958053</c:v>
                </c:pt>
                <c:pt idx="46">
                  <c:v>54.227920524417108</c:v>
                </c:pt>
                <c:pt idx="47">
                  <c:v>53.662705605461156</c:v>
                </c:pt>
                <c:pt idx="48">
                  <c:v>53.09680968070775</c:v>
                </c:pt>
                <c:pt idx="49">
                  <c:v>52.530603099121734</c:v>
                </c:pt>
                <c:pt idx="50">
                  <c:v>51.96446300618237</c:v>
                </c:pt>
                <c:pt idx="51">
                  <c:v>51.398772542807158</c:v>
                </c:pt>
                <c:pt idx="52">
                  <c:v>50.833920012712319</c:v>
                </c:pt>
                <c:pt idx="53">
                  <c:v>50.270298023255776</c:v>
                </c:pt>
                <c:pt idx="54">
                  <c:v>49.70830260511967</c:v>
                </c:pt>
                <c:pt idx="55">
                  <c:v>49.148332316430469</c:v>
                </c:pt>
                <c:pt idx="56">
                  <c:v>48.590787337100529</c:v>
                </c:pt>
                <c:pt idx="57">
                  <c:v>48.036068559285525</c:v>
                </c:pt>
                <c:pt idx="58">
                  <c:v>47.484576679898055</c:v>
                </c:pt>
                <c:pt idx="59">
                  <c:v>46.936711301085168</c:v>
                </c:pt>
                <c:pt idx="60">
                  <c:v>46.392870044471969</c:v>
                </c:pt>
                <c:pt idx="61">
                  <c:v>45.853447684818029</c:v>
                </c:pt>
                <c:pt idx="62">
                  <c:v>45.318835308474497</c:v>
                </c:pt>
                <c:pt idx="63">
                  <c:v>44.789419501751439</c:v>
                </c:pt>
                <c:pt idx="64">
                  <c:v>44.265581573938185</c:v>
                </c:pt>
                <c:pt idx="65">
                  <c:v>43.747696819316751</c:v>
                </c:pt>
                <c:pt idx="66">
                  <c:v>43.236133822061745</c:v>
                </c:pt>
                <c:pt idx="67">
                  <c:v>42.731253807436467</c:v>
                </c:pt>
                <c:pt idx="68">
                  <c:v>42.233410042187501</c:v>
                </c:pt>
                <c:pt idx="69">
                  <c:v>41.742947286507977</c:v>
                </c:pt>
                <c:pt idx="70">
                  <c:v>41.26020129940494</c:v>
                </c:pt>
                <c:pt idx="71">
                  <c:v>40.785498398770009</c:v>
                </c:pt>
                <c:pt idx="72">
                  <c:v>40.319155076910761</c:v>
                </c:pt>
                <c:pt idx="73">
                  <c:v>39.861477671788734</c:v>
                </c:pt>
                <c:pt idx="74">
                  <c:v>39.412762093704927</c:v>
                </c:pt>
                <c:pt idx="75">
                  <c:v>38.97329360670345</c:v>
                </c:pt>
                <c:pt idx="76">
                  <c:v>38.543346663517582</c:v>
                </c:pt>
                <c:pt idx="77">
                  <c:v>38.123184792477069</c:v>
                </c:pt>
                <c:pt idx="78">
                  <c:v>37.713060534428315</c:v>
                </c:pt>
                <c:pt idx="79">
                  <c:v>37.313215427383007</c:v>
                </c:pt>
                <c:pt idx="80">
                  <c:v>36.92388003633922</c:v>
                </c:pt>
                <c:pt idx="81">
                  <c:v>36.545274025458795</c:v>
                </c:pt>
                <c:pt idx="82">
                  <c:v>36.177606269598229</c:v>
                </c:pt>
                <c:pt idx="83">
                  <c:v>35.82107500203044</c:v>
                </c:pt>
                <c:pt idx="84">
                  <c:v>35.475867995068967</c:v>
                </c:pt>
                <c:pt idx="85">
                  <c:v>35.142162770239921</c:v>
                </c:pt>
                <c:pt idx="86">
                  <c:v>34.820126834597673</c:v>
                </c:pt>
                <c:pt idx="87">
                  <c:v>34.509917939772642</c:v>
                </c:pt>
                <c:pt idx="88">
                  <c:v>34.211684360362732</c:v>
                </c:pt>
                <c:pt idx="89">
                  <c:v>33.925565188331937</c:v>
                </c:pt>
                <c:pt idx="90">
                  <c:v>33.651690640147251</c:v>
                </c:pt>
                <c:pt idx="91">
                  <c:v>33.390182373485203</c:v>
                </c:pt>
                <c:pt idx="92">
                  <c:v>33.141153810450703</c:v>
                </c:pt>
                <c:pt idx="93">
                  <c:v>32.904710464375043</c:v>
                </c:pt>
                <c:pt idx="94">
                  <c:v>32.680950267400455</c:v>
                </c:pt>
                <c:pt idx="95">
                  <c:v>32.469963896209578</c:v>
                </c:pt>
                <c:pt idx="96">
                  <c:v>32.271835093403205</c:v>
                </c:pt>
                <c:pt idx="97">
                  <c:v>32.086640982198062</c:v>
                </c:pt>
                <c:pt idx="98">
                  <c:v>31.914452372270034</c:v>
                </c:pt>
                <c:pt idx="99">
                  <c:v>31.755334054728682</c:v>
                </c:pt>
                <c:pt idx="100">
                  <c:v>31.609345084372702</c:v>
                </c:pt>
                <c:pt idx="101">
                  <c:v>31.47653904752622</c:v>
                </c:pt>
                <c:pt idx="102">
                  <c:v>31.356964313916652</c:v>
                </c:pt>
                <c:pt idx="103">
                  <c:v>31.250664271193951</c:v>
                </c:pt>
                <c:pt idx="104">
                  <c:v>31.157677540848951</c:v>
                </c:pt>
                <c:pt idx="105">
                  <c:v>31.078038174411908</c:v>
                </c:pt>
                <c:pt idx="106">
                  <c:v>31.011775828961891</c:v>
                </c:pt>
                <c:pt idx="107">
                  <c:v>30.958915921095219</c:v>
                </c:pt>
                <c:pt idx="108">
                  <c:v>30.919479758631994</c:v>
                </c:pt>
                <c:pt idx="109">
                  <c:v>30.893484649457793</c:v>
                </c:pt>
                <c:pt idx="110">
                  <c:v>30.880943987013662</c:v>
                </c:pt>
                <c:pt idx="111">
                  <c:v>30.881867312057704</c:v>
                </c:pt>
                <c:pt idx="112">
                  <c:v>30.896260350438247</c:v>
                </c:pt>
                <c:pt idx="113">
                  <c:v>30.924125026715625</c:v>
                </c:pt>
                <c:pt idx="114">
                  <c:v>30.965459453589379</c:v>
                </c:pt>
                <c:pt idx="115">
                  <c:v>31.020257897181331</c:v>
                </c:pt>
                <c:pt idx="116">
                  <c:v>31.088510718339563</c:v>
                </c:pt>
                <c:pt idx="117">
                  <c:v>31.170204290235755</c:v>
                </c:pt>
                <c:pt idx="118">
                  <c:v>31.265320892632925</c:v>
                </c:pt>
                <c:pt idx="119">
                  <c:v>31.373838583321355</c:v>
                </c:pt>
                <c:pt idx="120">
                  <c:v>31.495731047328036</c:v>
                </c:pt>
                <c:pt idx="121">
                  <c:v>31.630967424631759</c:v>
                </c:pt>
                <c:pt idx="122">
                  <c:v>31.779512117237147</c:v>
                </c:pt>
                <c:pt idx="123">
                  <c:v>31.941324576591612</c:v>
                </c:pt>
                <c:pt idx="124">
                  <c:v>32.11635907246152</c:v>
                </c:pt>
                <c:pt idx="125">
                  <c:v>32.30456444452701</c:v>
                </c:pt>
                <c:pt idx="126">
                  <c:v>32.505883838097546</c:v>
                </c:pt>
                <c:pt idx="127">
                  <c:v>32.720254425496194</c:v>
                </c:pt>
                <c:pt idx="128">
                  <c:v>32.947607114821295</c:v>
                </c:pt>
                <c:pt idx="129">
                  <c:v>33.187866247945671</c:v>
                </c:pt>
                <c:pt idx="130">
                  <c:v>33.440949289772718</c:v>
                </c:pt>
                <c:pt idx="131">
                  <c:v>33.706766510930883</c:v>
                </c:pt>
                <c:pt idx="132">
                  <c:v>33.985220666250441</c:v>
                </c:pt>
                <c:pt idx="133">
                  <c:v>34.276206671517023</c:v>
                </c:pt>
                <c:pt idx="134">
                  <c:v>34.579611281158591</c:v>
                </c:pt>
                <c:pt idx="135">
                  <c:v>34.89531276966175</c:v>
                </c:pt>
                <c:pt idx="136">
                  <c:v>35.22318061966002</c:v>
                </c:pt>
                <c:pt idx="137">
                  <c:v>35.563075219755</c:v>
                </c:pt>
                <c:pt idx="138">
                  <c:v>35.914847575246007</c:v>
                </c:pt>
                <c:pt idx="139">
                  <c:v>36.278339035042848</c:v>
                </c:pt>
                <c:pt idx="140">
                  <c:v>36.653381038097578</c:v>
                </c:pt>
                <c:pt idx="141">
                  <c:v>37.039794882753924</c:v>
                </c:pt>
                <c:pt idx="142">
                  <c:v>37.437391522417443</c:v>
                </c:pt>
                <c:pt idx="143">
                  <c:v>37.845971390956933</c:v>
                </c:pt>
                <c:pt idx="144">
                  <c:v>38.265324261191694</c:v>
                </c:pt>
                <c:pt idx="145">
                  <c:v>38.695229139741159</c:v>
                </c:pt>
                <c:pt idx="146">
                  <c:v>39.13545420140278</c:v>
                </c:pt>
                <c:pt idx="147">
                  <c:v>39.585756766051247</c:v>
                </c:pt>
                <c:pt idx="148">
                  <c:v>40.04588332086432</c:v>
                </c:pt>
                <c:pt idx="149">
                  <c:v>40.515569590423802</c:v>
                </c:pt>
                <c:pt idx="150">
                  <c:v>40.994540656962357</c:v>
                </c:pt>
                <c:pt idx="151">
                  <c:v>41.482511132687591</c:v>
                </c:pt>
                <c:pt idx="152">
                  <c:v>41.97918538575275</c:v>
                </c:pt>
                <c:pt idx="153">
                  <c:v>42.484257821029054</c:v>
                </c:pt>
                <c:pt idx="154">
                  <c:v>42.997413216388601</c:v>
                </c:pt>
                <c:pt idx="155">
                  <c:v>43.518327114737183</c:v>
                </c:pt>
                <c:pt idx="156">
                  <c:v>44.046666271532665</c:v>
                </c:pt>
                <c:pt idx="157">
                  <c:v>44.582089156999984</c:v>
                </c:pt>
                <c:pt idx="158">
                  <c:v>45.124246511727641</c:v>
                </c:pt>
                <c:pt idx="159">
                  <c:v>45.672781953782533</c:v>
                </c:pt>
                <c:pt idx="160">
                  <c:v>46.227332634949896</c:v>
                </c:pt>
                <c:pt idx="161">
                  <c:v>46.787529943171037</c:v>
                </c:pt>
                <c:pt idx="162">
                  <c:v>47.353000247746877</c:v>
                </c:pt>
                <c:pt idx="163">
                  <c:v>47.923365683391424</c:v>
                </c:pt>
                <c:pt idx="164">
                  <c:v>48.498244968774607</c:v>
                </c:pt>
                <c:pt idx="165">
                  <c:v>49.077254254786574</c:v>
                </c:pt>
                <c:pt idx="166">
                  <c:v>49.660007997407348</c:v>
                </c:pt>
                <c:pt idx="167">
                  <c:v>50.246119849763645</c:v>
                </c:pt>
                <c:pt idx="168">
                  <c:v>50.83520356772317</c:v>
                </c:pt>
                <c:pt idx="169">
                  <c:v>51.42687392320849</c:v>
                </c:pt>
                <c:pt idx="170">
                  <c:v>52.020747619311223</c:v>
                </c:pt>
                <c:pt idx="171">
                  <c:v>52.616444201261309</c:v>
                </c:pt>
                <c:pt idx="172">
                  <c:v>53.213586957353769</c:v>
                </c:pt>
                <c:pt idx="173">
                  <c:v>53.811803804041794</c:v>
                </c:pt>
                <c:pt idx="174">
                  <c:v>54.410728149599002</c:v>
                </c:pt>
                <c:pt idx="175">
                  <c:v>55.009999730996277</c:v>
                </c:pt>
                <c:pt idx="176">
                  <c:v>55.609265418947331</c:v>
                </c:pt>
                <c:pt idx="177">
                  <c:v>56.208179986445714</c:v>
                </c:pt>
                <c:pt idx="178">
                  <c:v>56.806406836520893</c:v>
                </c:pt>
                <c:pt idx="179">
                  <c:v>57.403618685392686</c:v>
                </c:pt>
                <c:pt idx="180">
                  <c:v>57.999498197699303</c:v>
                </c:pt>
                <c:pt idx="181">
                  <c:v>58.593738570956894</c:v>
                </c:pt>
                <c:pt idx="182">
                  <c:v>59.186044066959738</c:v>
                </c:pt>
                <c:pt idx="183">
                  <c:v>59.776130488340748</c:v>
                </c:pt>
                <c:pt idx="184">
                  <c:v>60.363725599045623</c:v>
                </c:pt>
                <c:pt idx="185">
                  <c:v>60.948569488002612</c:v>
                </c:pt>
                <c:pt idx="186">
                  <c:v>61.530414875763682</c:v>
                </c:pt>
                <c:pt idx="187">
                  <c:v>62.109027364382115</c:v>
                </c:pt>
                <c:pt idx="188">
                  <c:v>62.684185631240389</c:v>
                </c:pt>
                <c:pt idx="189">
                  <c:v>63.255681567974818</c:v>
                </c:pt>
                <c:pt idx="190">
                  <c:v>63.823320366011181</c:v>
                </c:pt>
                <c:pt idx="191">
                  <c:v>64.386920550587163</c:v>
                </c:pt>
                <c:pt idx="192">
                  <c:v>64.946313965434939</c:v>
                </c:pt>
                <c:pt idx="193">
                  <c:v>65.50134571054646</c:v>
                </c:pt>
                <c:pt idx="194">
                  <c:v>66.051874035686524</c:v>
                </c:pt>
                <c:pt idx="195">
                  <c:v>66.597770192458682</c:v>
                </c:pt>
                <c:pt idx="196">
                  <c:v>67.138918247891695</c:v>
                </c:pt>
                <c:pt idx="197">
                  <c:v>67.675214862585165</c:v>
                </c:pt>
                <c:pt idx="198">
                  <c:v>68.206569036506451</c:v>
                </c:pt>
                <c:pt idx="199">
                  <c:v>68.732901825563744</c:v>
                </c:pt>
                <c:pt idx="200">
                  <c:v>69.254146032034598</c:v>
                </c:pt>
                <c:pt idx="201">
                  <c:v>69.770245871916359</c:v>
                </c:pt>
                <c:pt idx="202">
                  <c:v>70.281156622157326</c:v>
                </c:pt>
                <c:pt idx="203">
                  <c:v>70.786844250661247</c:v>
                </c:pt>
                <c:pt idx="204">
                  <c:v>71.287285031814378</c:v>
                </c:pt>
                <c:pt idx="205">
                  <c:v>71.782465150169884</c:v>
                </c:pt>
                <c:pt idx="206">
                  <c:v>72.272380294767061</c:v>
                </c:pt>
                <c:pt idx="207">
                  <c:v>72.75703524640133</c:v>
                </c:pt>
                <c:pt idx="208">
                  <c:v>73.236443460008587</c:v>
                </c:pt>
                <c:pt idx="209">
                  <c:v>73.710626644137406</c:v>
                </c:pt>
                <c:pt idx="210">
                  <c:v>74.179614339323976</c:v>
                </c:pt>
                <c:pt idx="211">
                  <c:v>74.643443496999794</c:v>
                </c:pt>
                <c:pt idx="212">
                  <c:v>75.102158060390437</c:v>
                </c:pt>
                <c:pt idx="213">
                  <c:v>75.555808548695722</c:v>
                </c:pt>
                <c:pt idx="214">
                  <c:v>76.004451645666975</c:v>
                </c:pt>
                <c:pt idx="215">
                  <c:v>76.448149793544076</c:v>
                </c:pt>
                <c:pt idx="216">
                  <c:v>76.886970793149558</c:v>
                </c:pt>
                <c:pt idx="217">
                  <c:v>77.320987410800115</c:v>
                </c:pt>
                <c:pt idx="218">
                  <c:v>77.750276992543206</c:v>
                </c:pt>
                <c:pt idx="219">
                  <c:v>78.174921086101691</c:v>
                </c:pt>
                <c:pt idx="220">
                  <c:v>78.595005070784012</c:v>
                </c:pt>
                <c:pt idx="221">
                  <c:v>79.010617795498405</c:v>
                </c:pt>
                <c:pt idx="222">
                  <c:v>79.421851224905865</c:v>
                </c:pt>
                <c:pt idx="223">
                  <c:v>79.828800093649548</c:v>
                </c:pt>
                <c:pt idx="224">
                  <c:v>80.231561568500766</c:v>
                </c:pt>
                <c:pt idx="225">
                  <c:v>80.630234918190297</c:v>
                </c:pt>
                <c:pt idx="226">
                  <c:v>81.02492119061499</c:v>
                </c:pt>
                <c:pt idx="227">
                  <c:v>81.415722897039885</c:v>
                </c:pt>
                <c:pt idx="228">
                  <c:v>81.80274370286584</c:v>
                </c:pt>
                <c:pt idx="229">
                  <c:v>82.186088124479852</c:v>
                </c:pt>
                <c:pt idx="230">
                  <c:v>82.565861231654608</c:v>
                </c:pt>
                <c:pt idx="231">
                  <c:v>82.942168354935276</c:v>
                </c:pt>
                <c:pt idx="232">
                  <c:v>83.315114797416797</c:v>
                </c:pt>
                <c:pt idx="233">
                  <c:v>83.684805550292438</c:v>
                </c:pt>
                <c:pt idx="234">
                  <c:v>84.051345011530998</c:v>
                </c:pt>
                <c:pt idx="235">
                  <c:v>84.414836707035661</c:v>
                </c:pt>
                <c:pt idx="236">
                  <c:v>84.775383013625671</c:v>
                </c:pt>
                <c:pt idx="237">
                  <c:v>85.133084883180658</c:v>
                </c:pt>
                <c:pt idx="238">
                  <c:v>85.488041567296179</c:v>
                </c:pt>
                <c:pt idx="239">
                  <c:v>85.840350341804324</c:v>
                </c:pt>
                <c:pt idx="240">
                  <c:v>86.190106230536372</c:v>
                </c:pt>
                <c:pt idx="241">
                  <c:v>86.537401727716457</c:v>
                </c:pt>
                <c:pt idx="242">
                  <c:v>86.882326518415155</c:v>
                </c:pt>
                <c:pt idx="243">
                  <c:v>87.224967196513362</c:v>
                </c:pt>
                <c:pt idx="244">
                  <c:v>87.565406979675643</c:v>
                </c:pt>
                <c:pt idx="245">
                  <c:v>87.903725420878942</c:v>
                </c:pt>
                <c:pt idx="246">
                  <c:v>88.239998116085118</c:v>
                </c:pt>
                <c:pt idx="247">
                  <c:v>88.57429640772223</c:v>
                </c:pt>
                <c:pt idx="248">
                  <c:v>88.906687083691196</c:v>
                </c:pt>
                <c:pt idx="249">
                  <c:v>89.237232071702508</c:v>
                </c:pt>
                <c:pt idx="250">
                  <c:v>89.565988128820777</c:v>
                </c:pt>
                <c:pt idx="251">
                  <c:v>89.893006526189794</c:v>
                </c:pt>
                <c:pt idx="252">
                  <c:v>90.218332729011919</c:v>
                </c:pt>
                <c:pt idx="253">
                  <c:v>90.542006071957999</c:v>
                </c:pt>
                <c:pt idx="254">
                  <c:v>90.864059430303001</c:v>
                </c:pt>
                <c:pt idx="255">
                  <c:v>91.184518887210288</c:v>
                </c:pt>
                <c:pt idx="256">
                  <c:v>91.503403397710272</c:v>
                </c:pt>
                <c:pt idx="257">
                  <c:v>91.82072445007654</c:v>
                </c:pt>
                <c:pt idx="258">
                  <c:v>92.13648572543454</c:v>
                </c:pt>
                <c:pt idx="259">
                  <c:v>92.450682756611428</c:v>
                </c:pt>
                <c:pt idx="260">
                  <c:v>92.763302587388168</c:v>
                </c:pt>
                <c:pt idx="261">
                  <c:v>93.074323433492552</c:v>
                </c:pt>
                <c:pt idx="262">
                  <c:v>93.383714346844727</c:v>
                </c:pt>
                <c:pt idx="263">
                  <c:v>93.691434884750393</c:v>
                </c:pt>
                <c:pt idx="264">
                  <c:v>93.997434785912859</c:v>
                </c:pt>
                <c:pt idx="265">
                  <c:v>94.301653655329218</c:v>
                </c:pt>
                <c:pt idx="266">
                  <c:v>94.6040206603097</c:v>
                </c:pt>
                <c:pt idx="267">
                  <c:v>94.904454240042526</c:v>
                </c:pt>
                <c:pt idx="268">
                  <c:v>95.202861831304105</c:v>
                </c:pt>
                <c:pt idx="269">
                  <c:v>95.499139613072245</c:v>
                </c:pt>
                <c:pt idx="270">
                  <c:v>95.793172272964057</c:v>
                </c:pt>
                <c:pt idx="271">
                  <c:v>96.08483279855129</c:v>
                </c:pt>
                <c:pt idx="272">
                  <c:v>96.37398229673461</c:v>
                </c:pt>
                <c:pt idx="273">
                  <c:v>96.660469844452265</c:v>
                </c:pt>
                <c:pt idx="274">
                  <c:v>96.944132374084845</c:v>
                </c:pt>
                <c:pt idx="275">
                  <c:v>97.224794596947589</c:v>
                </c:pt>
                <c:pt idx="276">
                  <c:v>97.502268968293109</c:v>
                </c:pt>
                <c:pt idx="277">
                  <c:v>97.776355697213518</c:v>
                </c:pt>
                <c:pt idx="278">
                  <c:v>98.046842804775039</c:v>
                </c:pt>
                <c:pt idx="279">
                  <c:v>98.313506233611747</c:v>
                </c:pt>
                <c:pt idx="280">
                  <c:v>98.576110012053135</c:v>
                </c:pt>
                <c:pt idx="281">
                  <c:v>98.834406475669127</c:v>
                </c:pt>
                <c:pt idx="282">
                  <c:v>99.088136548862835</c:v>
                </c:pt>
                <c:pt idx="283">
                  <c:v>99.337030088843406</c:v>
                </c:pt>
                <c:pt idx="284">
                  <c:v>99.580806293968735</c:v>
                </c:pt>
                <c:pt idx="285">
                  <c:v>99.819174178038452</c:v>
                </c:pt>
                <c:pt idx="286">
                  <c:v>100.05183311167781</c:v>
                </c:pt>
                <c:pt idx="287">
                  <c:v>100.27847343145206</c:v>
                </c:pt>
                <c:pt idx="288">
                  <c:v>100.4987771168116</c:v>
                </c:pt>
                <c:pt idx="289">
                  <c:v>100.71241853438995</c:v>
                </c:pt>
                <c:pt idx="290">
                  <c:v>100.91906524856466</c:v>
                </c:pt>
                <c:pt idx="291">
                  <c:v>101.11837889654971</c:v>
                </c:pt>
                <c:pt idx="292">
                  <c:v>101.31001612562167</c:v>
                </c:pt>
                <c:pt idx="293">
                  <c:v>101.49362958941691</c:v>
                </c:pt>
                <c:pt idx="294">
                  <c:v>101.66886899954848</c:v>
                </c:pt>
                <c:pt idx="295">
                  <c:v>101.83538222812177</c:v>
                </c:pt>
                <c:pt idx="296">
                  <c:v>101.9928164560714</c:v>
                </c:pt>
                <c:pt idx="297">
                  <c:v>102.14081936159968</c:v>
                </c:pt>
                <c:pt idx="298">
                  <c:v>102.27904034239991</c:v>
                </c:pt>
                <c:pt idx="299">
                  <c:v>102.40713176479011</c:v>
                </c:pt>
                <c:pt idx="300">
                  <c:v>102.52475023237484</c:v>
                </c:pt>
                <c:pt idx="301">
                  <c:v>102.63155786641074</c:v>
                </c:pt>
                <c:pt idx="302">
                  <c:v>102.72722358967367</c:v>
                </c:pt>
                <c:pt idx="303">
                  <c:v>102.81142440533105</c:v>
                </c:pt>
                <c:pt idx="304">
                  <c:v>102.88384666210152</c:v>
                </c:pt>
                <c:pt idx="305">
                  <c:v>102.94418729686012</c:v>
                </c:pt>
                <c:pt idx="306">
                  <c:v>102.99215504579668</c:v>
                </c:pt>
                <c:pt idx="307">
                  <c:v>103.02747161530735</c:v>
                </c:pt>
                <c:pt idx="308">
                  <c:v>103.04987280392652</c:v>
                </c:pt>
                <c:pt idx="309">
                  <c:v>103.05910956685915</c:v>
                </c:pt>
                <c:pt idx="310">
                  <c:v>103.05494901500262</c:v>
                </c:pt>
                <c:pt idx="311">
                  <c:v>103.0371753407677</c:v>
                </c:pt>
                <c:pt idx="312">
                  <c:v>103.00559066351433</c:v>
                </c:pt>
                <c:pt idx="313">
                  <c:v>102.96001578799859</c:v>
                </c:pt>
                <c:pt idx="314">
                  <c:v>102.90029086989492</c:v>
                </c:pt>
                <c:pt idx="315">
                  <c:v>102.82627598316797</c:v>
                </c:pt>
                <c:pt idx="316">
                  <c:v>102.73785158486949</c:v>
                </c:pt>
                <c:pt idx="317">
                  <c:v>102.63491887374012</c:v>
                </c:pt>
                <c:pt idx="318">
                  <c:v>102.51740003990575</c:v>
                </c:pt>
                <c:pt idx="319">
                  <c:v>102.38523840382744</c:v>
                </c:pt>
                <c:pt idx="320">
                  <c:v>102.23839844361424</c:v>
                </c:pt>
                <c:pt idx="321">
                  <c:v>102.07686571073316</c:v>
                </c:pt>
                <c:pt idx="322">
                  <c:v>101.90064663509636</c:v>
                </c:pt>
                <c:pt idx="323">
                  <c:v>101.70976822143837</c:v>
                </c:pt>
                <c:pt idx="324">
                  <c:v>101.50427763979712</c:v>
                </c:pt>
                <c:pt idx="325">
                  <c:v>101.28424171381583</c:v>
                </c:pt>
                <c:pt idx="326">
                  <c:v>101.04974631141168</c:v>
                </c:pt>
                <c:pt idx="327">
                  <c:v>100.80089564316694</c:v>
                </c:pt>
                <c:pt idx="328">
                  <c:v>100.53781147453864</c:v>
                </c:pt>
                <c:pt idx="329">
                  <c:v>100.26063225866579</c:v>
                </c:pt>
                <c:pt idx="330">
                  <c:v>99.96951219715919</c:v>
                </c:pt>
                <c:pt idx="331">
                  <c:v>99.66462023679108</c:v>
                </c:pt>
                <c:pt idx="332">
                  <c:v>99.346139010455815</c:v>
                </c:pt>
                <c:pt idx="333">
                  <c:v>99.014263731121588</c:v>
                </c:pt>
                <c:pt idx="334">
                  <c:v>98.669201047784512</c:v>
                </c:pt>
                <c:pt idx="335">
                  <c:v>98.311167872586239</c:v>
                </c:pt>
                <c:pt idx="336">
                  <c:v>97.940390188369236</c:v>
                </c:pt>
                <c:pt idx="337">
                  <c:v>97.557101845905521</c:v>
                </c:pt>
                <c:pt idx="338">
                  <c:v>97.161543359962039</c:v>
                </c:pt>
                <c:pt idx="339">
                  <c:v>96.753960713143641</c:v>
                </c:pt>
                <c:pt idx="340">
                  <c:v>96.334604176215251</c:v>
                </c:pt>
                <c:pt idx="341">
                  <c:v>95.903727153218838</c:v>
                </c:pt>
                <c:pt idx="342">
                  <c:v>95.461585059300191</c:v>
                </c:pt>
                <c:pt idx="343">
                  <c:v>95.008434238655965</c:v>
                </c:pt>
                <c:pt idx="344">
                  <c:v>94.544530929468266</c:v>
                </c:pt>
                <c:pt idx="345">
                  <c:v>94.070130282102724</c:v>
                </c:pt>
                <c:pt idx="346">
                  <c:v>93.585485436204678</c:v>
                </c:pt>
                <c:pt idx="347">
                  <c:v>93.090846661675599</c:v>
                </c:pt>
                <c:pt idx="348">
                  <c:v>92.586460567812964</c:v>
                </c:pt>
                <c:pt idx="349">
                  <c:v>92.072569384223684</c:v>
                </c:pt>
                <c:pt idx="350">
                  <c:v>91.549410316409478</c:v>
                </c:pt>
                <c:pt idx="351">
                  <c:v>91.017214978233127</c:v>
                </c:pt>
                <c:pt idx="352">
                  <c:v>90.476208902817234</c:v>
                </c:pt>
                <c:pt idx="353">
                  <c:v>89.926611132750097</c:v>
                </c:pt>
                <c:pt idx="354">
                  <c:v>89.368633889862053</c:v>
                </c:pt>
                <c:pt idx="355">
                  <c:v>88.802482324233679</c:v>
                </c:pt>
                <c:pt idx="356">
                  <c:v>88.228354341544701</c:v>
                </c:pt>
                <c:pt idx="357">
                  <c:v>87.646440507345076</c:v>
                </c:pt>
                <c:pt idx="358">
                  <c:v>87.056924026358672</c:v>
                </c:pt>
                <c:pt idx="359">
                  <c:v>86.459980794494271</c:v>
                </c:pt>
                <c:pt idx="360">
                  <c:v>85.855779520841921</c:v>
                </c:pt>
                <c:pt idx="361">
                  <c:v>85.244481916592932</c:v>
                </c:pt>
                <c:pt idx="362">
                  <c:v>84.626242947498213</c:v>
                </c:pt>
                <c:pt idx="363">
                  <c:v>84.001211146232023</c:v>
                </c:pt>
                <c:pt idx="364">
                  <c:v>83.369528980778099</c:v>
                </c:pt>
                <c:pt idx="365">
                  <c:v>82.731333274769668</c:v>
                </c:pt>
                <c:pt idx="366">
                  <c:v>82.086755675548602</c:v>
                </c:pt>
                <c:pt idx="367">
                  <c:v>81.435923165568539</c:v>
                </c:pt>
                <c:pt idx="368">
                  <c:v>80.778958612665662</c:v>
                </c:pt>
                <c:pt idx="369">
                  <c:v>80.115981354619947</c:v>
                </c:pt>
                <c:pt idx="370">
                  <c:v>79.447107813376334</c:v>
                </c:pt>
                <c:pt idx="371">
                  <c:v>78.772452134232182</c:v>
                </c:pt>
                <c:pt idx="372">
                  <c:v>78.092126845268623</c:v>
                </c:pt>
                <c:pt idx="373">
                  <c:v>77.40624353227588</c:v>
                </c:pt>
                <c:pt idx="374">
                  <c:v>76.7149135244115</c:v>
                </c:pt>
                <c:pt idx="375">
                  <c:v>76.018248585829994</c:v>
                </c:pt>
                <c:pt idx="376">
                  <c:v>75.31636160852841</c:v>
                </c:pt>
                <c:pt idx="377">
                  <c:v>74.609367301666822</c:v>
                </c:pt>
                <c:pt idx="378">
                  <c:v>73.897382872657715</c:v>
                </c:pt>
                <c:pt idx="379">
                  <c:v>73.180528695346794</c:v>
                </c:pt>
                <c:pt idx="380">
                  <c:v>72.4589289606634</c:v>
                </c:pt>
                <c:pt idx="381">
                  <c:v>71.732712305186723</c:v>
                </c:pt>
                <c:pt idx="382">
                  <c:v>71.002012413140619</c:v>
                </c:pt>
                <c:pt idx="383">
                  <c:v>70.266968587444339</c:v>
                </c:pt>
                <c:pt idx="384">
                  <c:v>69.527726285555019</c:v>
                </c:pt>
                <c:pt idx="385">
                  <c:v>68.784437615982938</c:v>
                </c:pt>
                <c:pt idx="386">
                  <c:v>68.037261791529673</c:v>
                </c:pt>
                <c:pt idx="387">
                  <c:v>67.286365535497268</c:v>
                </c:pt>
                <c:pt idx="388">
                  <c:v>66.531923437336928</c:v>
                </c:pt>
                <c:pt idx="389">
                  <c:v>65.774118254476164</c:v>
                </c:pt>
                <c:pt idx="390">
                  <c:v>65.013141157348898</c:v>
                </c:pt>
                <c:pt idx="391">
                  <c:v>64.249191914979264</c:v>
                </c:pt>
                <c:pt idx="392">
                  <c:v>63.482479018848643</c:v>
                </c:pt>
                <c:pt idx="393">
                  <c:v>62.713219743150731</c:v>
                </c:pt>
                <c:pt idx="394">
                  <c:v>61.941640139992543</c:v>
                </c:pt>
                <c:pt idx="395">
                  <c:v>61.167974968549395</c:v>
                </c:pt>
                <c:pt idx="396">
                  <c:v>60.392467557676731</c:v>
                </c:pt>
                <c:pt idx="397">
                  <c:v>59.615369601997863</c:v>
                </c:pt>
                <c:pt idx="398">
                  <c:v>58.836940892023215</c:v>
                </c:pt>
                <c:pt idx="399">
                  <c:v>58.057448979400363</c:v>
                </c:pt>
                <c:pt idx="400">
                  <c:v>57.277168778959371</c:v>
                </c:pt>
                <c:pt idx="401">
                  <c:v>56.496382109769762</c:v>
                </c:pt>
                <c:pt idx="402">
                  <c:v>55.715377177977331</c:v>
                </c:pt>
                <c:pt idx="403">
                  <c:v>54.934448004729283</c:v>
                </c:pt>
                <c:pt idx="404">
                  <c:v>54.153893803004067</c:v>
                </c:pt>
                <c:pt idx="405">
                  <c:v>53.374018307653913</c:v>
                </c:pt>
                <c:pt idx="406">
                  <c:v>52.595129063400229</c:v>
                </c:pt>
                <c:pt idx="407">
                  <c:v>51.817536675938584</c:v>
                </c:pt>
                <c:pt idx="408">
                  <c:v>51.041554031635961</c:v>
                </c:pt>
                <c:pt idx="409">
                  <c:v>50.267495491606773</c:v>
                </c:pt>
                <c:pt idx="410">
                  <c:v>49.495676066167974</c:v>
                </c:pt>
                <c:pt idx="411">
                  <c:v>48.726410575830108</c:v>
                </c:pt>
                <c:pt idx="412">
                  <c:v>47.960012805070576</c:v>
                </c:pt>
                <c:pt idx="413">
                  <c:v>47.196794655138703</c:v>
                </c:pt>
                <c:pt idx="414">
                  <c:v>46.437065302087127</c:v>
                </c:pt>
                <c:pt idx="415">
                  <c:v>45.681130366095061</c:v>
                </c:pt>
                <c:pt idx="416">
                  <c:v>44.929291097937202</c:v>
                </c:pt>
                <c:pt idx="417">
                  <c:v>44.181843588200195</c:v>
                </c:pt>
                <c:pt idx="418">
                  <c:v>43.439078004511941</c:v>
                </c:pt>
                <c:pt idx="419">
                  <c:v>42.701277861674193</c:v>
                </c:pt>
                <c:pt idx="420">
                  <c:v>41.968719329162973</c:v>
                </c:pt>
                <c:pt idx="421">
                  <c:v>41.241670579989332</c:v>
                </c:pt>
                <c:pt idx="422">
                  <c:v>40.520391184425399</c:v>
                </c:pt>
                <c:pt idx="423">
                  <c:v>39.805131551562127</c:v>
                </c:pt>
                <c:pt idx="424">
                  <c:v>39.096132421154024</c:v>
                </c:pt>
                <c:pt idx="425">
                  <c:v>38.39362440763648</c:v>
                </c:pt>
                <c:pt idx="426">
                  <c:v>37.697827597683116</c:v>
                </c:pt>
                <c:pt idx="427">
                  <c:v>37.008951202129381</c:v>
                </c:pt>
                <c:pt idx="428">
                  <c:v>36.327193262577026</c:v>
                </c:pt>
                <c:pt idx="429">
                  <c:v>35.652740412497316</c:v>
                </c:pt>
                <c:pt idx="430">
                  <c:v>34.98576769220341</c:v>
                </c:pt>
                <c:pt idx="431">
                  <c:v>34.326438416612369</c:v>
                </c:pt>
                <c:pt idx="432">
                  <c:v>33.674904094347511</c:v>
                </c:pt>
                <c:pt idx="433">
                  <c:v>33.031304396356894</c:v>
                </c:pt>
                <c:pt idx="434">
                  <c:v>32.395767171936804</c:v>
                </c:pt>
                <c:pt idx="435">
                  <c:v>31.768408509768005</c:v>
                </c:pt>
                <c:pt idx="436">
                  <c:v>31.14933284135142</c:v>
                </c:pt>
                <c:pt idx="437">
                  <c:v>30.538633084059665</c:v>
                </c:pt>
                <c:pt idx="438">
                  <c:v>29.93639082087541</c:v>
                </c:pt>
                <c:pt idx="439">
                  <c:v>29.342676513791215</c:v>
                </c:pt>
                <c:pt idx="440">
                  <c:v>28.757549747794098</c:v>
                </c:pt>
                <c:pt idx="441">
                  <c:v>28.181059502327837</c:v>
                </c:pt>
                <c:pt idx="442">
                  <c:v>27.613244447143167</c:v>
                </c:pt>
                <c:pt idx="443">
                  <c:v>27.054133259480295</c:v>
                </c:pt>
                <c:pt idx="444">
                  <c:v>26.503744959600237</c:v>
                </c:pt>
                <c:pt idx="445">
                  <c:v>25.962089261767112</c:v>
                </c:pt>
                <c:pt idx="446">
                  <c:v>25.42916693789693</c:v>
                </c:pt>
                <c:pt idx="447">
                  <c:v>24.904970191210502</c:v>
                </c:pt>
                <c:pt idx="448">
                  <c:v>24.389483037371523</c:v>
                </c:pt>
                <c:pt idx="449">
                  <c:v>23.882681690738227</c:v>
                </c:pt>
                <c:pt idx="450">
                  <c:v>23.384534953515278</c:v>
                </c:pt>
                <c:pt idx="451">
                  <c:v>22.89500460575659</c:v>
                </c:pt>
                <c:pt idx="452">
                  <c:v>22.414045794332289</c:v>
                </c:pt>
                <c:pt idx="453">
                  <c:v>21.941607419139057</c:v>
                </c:pt>
                <c:pt idx="454">
                  <c:v>21.477632515000828</c:v>
                </c:pt>
                <c:pt idx="455">
                  <c:v>21.022058627861412</c:v>
                </c:pt>
                <c:pt idx="456">
                  <c:v>20.574818184036747</c:v>
                </c:pt>
                <c:pt idx="457">
                  <c:v>20.135838851433984</c:v>
                </c:pt>
                <c:pt idx="458">
                  <c:v>19.705043891800777</c:v>
                </c:pt>
                <c:pt idx="459">
                  <c:v>19.282352503199274</c:v>
                </c:pt>
                <c:pt idx="460">
                  <c:v>18.86768015202728</c:v>
                </c:pt>
                <c:pt idx="461">
                  <c:v>18.460938894040456</c:v>
                </c:pt>
                <c:pt idx="462">
                  <c:v>18.06203768392874</c:v>
                </c:pt>
                <c:pt idx="463">
                  <c:v>17.670882673115429</c:v>
                </c:pt>
                <c:pt idx="464">
                  <c:v>17.287377495539605</c:v>
                </c:pt>
                <c:pt idx="465">
                  <c:v>16.911423541270114</c:v>
                </c:pt>
                <c:pt idx="466">
                  <c:v>16.542920217878216</c:v>
                </c:pt>
                <c:pt idx="467">
                  <c:v>16.181765199568165</c:v>
                </c:pt>
                <c:pt idx="468">
                  <c:v>15.827854664131358</c:v>
                </c:pt>
                <c:pt idx="469">
                  <c:v>15.481083517838677</c:v>
                </c:pt>
                <c:pt idx="470">
                  <c:v>15.141345608444942</c:v>
                </c:pt>
                <c:pt idx="471">
                  <c:v>14.808533926514533</c:v>
                </c:pt>
                <c:pt idx="472">
                  <c:v>14.482540795318904</c:v>
                </c:pt>
                <c:pt idx="473">
                  <c:v>14.163258049585604</c:v>
                </c:pt>
                <c:pt idx="474">
                  <c:v>13.850577203405438</c:v>
                </c:pt>
                <c:pt idx="475">
                  <c:v>13.544389607626655</c:v>
                </c:pt>
                <c:pt idx="476">
                  <c:v>13.244586597079953</c:v>
                </c:pt>
                <c:pt idx="477">
                  <c:v>12.951059627993747</c:v>
                </c:pt>
                <c:pt idx="478">
                  <c:v>12.663700405965759</c:v>
                </c:pt>
                <c:pt idx="479">
                  <c:v>12.382401004865908</c:v>
                </c:pt>
                <c:pt idx="480">
                  <c:v>12.107053977046656</c:v>
                </c:pt>
                <c:pt idx="481">
                  <c:v>11.837552455240173</c:v>
                </c:pt>
                <c:pt idx="482">
                  <c:v>11.573790246517079</c:v>
                </c:pt>
                <c:pt idx="483">
                  <c:v>11.315661918682167</c:v>
                </c:pt>
                <c:pt idx="484">
                  <c:v>11.06306287947395</c:v>
                </c:pt>
                <c:pt idx="485">
                  <c:v>10.81588944893074</c:v>
                </c:pt>
                <c:pt idx="486">
                  <c:v>10.574038925276625</c:v>
                </c:pt>
                <c:pt idx="487">
                  <c:v>10.337409644674212</c:v>
                </c:pt>
                <c:pt idx="488">
                  <c:v>10.105901035179778</c:v>
                </c:pt>
                <c:pt idx="489">
                  <c:v>9.8794136652250195</c:v>
                </c:pt>
                <c:pt idx="490">
                  <c:v>9.657849286944197</c:v>
                </c:pt>
                <c:pt idx="491">
                  <c:v>9.4411108746464265</c:v>
                </c:pt>
                <c:pt idx="492">
                  <c:v>9.2291026587300546</c:v>
                </c:pt>
                <c:pt idx="493">
                  <c:v>9.0217301553170373</c:v>
                </c:pt>
                <c:pt idx="494">
                  <c:v>8.8189001918793153</c:v>
                </c:pt>
                <c:pt idx="495">
                  <c:v>8.6205209291131268</c:v>
                </c:pt>
                <c:pt idx="496">
                  <c:v>8.4265018793099653</c:v>
                </c:pt>
                <c:pt idx="497">
                  <c:v>8.2367539214572201</c:v>
                </c:pt>
                <c:pt idx="498">
                  <c:v>8.051189313293623</c:v>
                </c:pt>
                <c:pt idx="499">
                  <c:v>7.8697217005318496</c:v>
                </c:pt>
                <c:pt idx="500">
                  <c:v>7.6922661234508629</c:v>
                </c:pt>
                <c:pt idx="501">
                  <c:v>7.5187390210485843</c:v>
                </c:pt>
                <c:pt idx="502">
                  <c:v>7.3490582329375531</c:v>
                </c:pt>
                <c:pt idx="503">
                  <c:v>7.183142999154664</c:v>
                </c:pt>
                <c:pt idx="504">
                  <c:v>7.0209139580470552</c:v>
                </c:pt>
                <c:pt idx="505">
                  <c:v>6.8622931423875793</c:v>
                </c:pt>
                <c:pt idx="506">
                  <c:v>6.7072039738633142</c:v>
                </c:pt>
                <c:pt idx="507">
                  <c:v>6.5555712560741037</c:v>
                </c:pt>
                <c:pt idx="508">
                  <c:v>6.4073211661677218</c:v>
                </c:pt>
                <c:pt idx="509">
                  <c:v>6.2623812452320635</c:v>
                </c:pt>
                <c:pt idx="510">
                  <c:v>6.1206803875575231</c:v>
                </c:pt>
                <c:pt idx="511">
                  <c:v>5.9821488288740712</c:v>
                </c:pt>
                <c:pt idx="512">
                  <c:v>5.8467181336633267</c:v>
                </c:pt>
                <c:pt idx="513">
                  <c:v>5.7143211816366648</c:v>
                </c:pt>
                <c:pt idx="514">
                  <c:v>5.584892153467341</c:v>
                </c:pt>
                <c:pt idx="515">
                  <c:v>5.4583665158567145</c:v>
                </c:pt>
                <c:pt idx="516">
                  <c:v>5.3346810060097711</c:v>
                </c:pt>
                <c:pt idx="517">
                  <c:v>5.2137736155909407</c:v>
                </c:pt>
                <c:pt idx="518">
                  <c:v>5.0955835742251976</c:v>
                </c:pt>
                <c:pt idx="519">
                  <c:v>4.9800513326051972</c:v>
                </c:pt>
                <c:pt idx="520">
                  <c:v>4.8671185452614187</c:v>
                </c:pt>
                <c:pt idx="521">
                  <c:v>4.7567280530473255</c:v>
                </c:pt>
                <c:pt idx="522">
                  <c:v>4.6488238653890797</c:v>
                </c:pt>
                <c:pt idx="523">
                  <c:v>4.5433511423432149</c:v>
                </c:pt>
                <c:pt idx="524">
                  <c:v>4.4402561765057866</c:v>
                </c:pt>
                <c:pt idx="525">
                  <c:v>4.3394863748103392</c:v>
                </c:pt>
                <c:pt idx="526">
                  <c:v>4.2409902402504827</c:v>
                </c:pt>
                <c:pt idx="527">
                  <c:v>4.1447173535597335</c:v>
                </c:pt>
                <c:pt idx="528">
                  <c:v>4.050618354878921</c:v>
                </c:pt>
                <c:pt idx="529">
                  <c:v>3.9586449254380232</c:v>
                </c:pt>
                <c:pt idx="530">
                  <c:v>3.868749769278875</c:v>
                </c:pt>
                <c:pt idx="531">
                  <c:v>3.7808865950407373</c:v>
                </c:pt>
                <c:pt idx="532">
                  <c:v>3.695010097830814</c:v>
                </c:pt>
                <c:pt idx="533">
                  <c:v>3.6110759411978712</c:v>
                </c:pt>
                <c:pt idx="534">
                  <c:v>3.5290407392276903</c:v>
                </c:pt>
                <c:pt idx="535">
                  <c:v>3.4488620387751801</c:v>
                </c:pt>
                <c:pt idx="536">
                  <c:v>3.3704983018480532</c:v>
                </c:pt>
                <c:pt idx="537">
                  <c:v>3.2939088881545122</c:v>
                </c:pt>
                <c:pt idx="538">
                  <c:v>3.2190540378270489</c:v>
                </c:pt>
                <c:pt idx="539">
                  <c:v>3.1458948543321563</c:v>
                </c:pt>
                <c:pt idx="540">
                  <c:v>3.0743932875755622</c:v>
                </c:pt>
                <c:pt idx="541">
                  <c:v>3.0045121172108149</c:v>
                </c:pt>
              </c:numCache>
            </c:numRef>
          </c:yVal>
          <c:smooth val="1"/>
          <c:extLst>
            <c:ext xmlns:c16="http://schemas.microsoft.com/office/drawing/2014/chart" uri="{C3380CC4-5D6E-409C-BE32-E72D297353CC}">
              <c16:uniqueId val="{00000001-F11A-4C29-9835-786B9CEC5C6A}"/>
            </c:ext>
          </c:extLst>
        </c:ser>
        <c:dLbls>
          <c:showLegendKey val="0"/>
          <c:showVal val="0"/>
          <c:showCatName val="0"/>
          <c:showSerName val="0"/>
          <c:showPercent val="0"/>
          <c:showBubbleSize val="0"/>
        </c:dLbls>
        <c:axId val="555497728"/>
        <c:axId val="555496192"/>
      </c:scatterChart>
      <c:valAx>
        <c:axId val="555344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46560"/>
        <c:crosses val="autoZero"/>
        <c:crossBetween val="midCat"/>
      </c:valAx>
      <c:valAx>
        <c:axId val="55534656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344640"/>
        <c:crosses val="autoZero"/>
        <c:crossBetween val="midCat"/>
        <c:majorUnit val="20"/>
        <c:minorUnit val="10"/>
      </c:valAx>
      <c:valAx>
        <c:axId val="5554961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497728"/>
        <c:crosses val="max"/>
        <c:crossBetween val="midCat"/>
        <c:majorUnit val="90"/>
        <c:minorUnit val="45"/>
      </c:valAx>
      <c:valAx>
        <c:axId val="555497728"/>
        <c:scaling>
          <c:logBase val="10"/>
          <c:orientation val="minMax"/>
        </c:scaling>
        <c:delete val="1"/>
        <c:axPos val="b"/>
        <c:numFmt formatCode="0.00" sourceLinked="1"/>
        <c:majorTickMark val="out"/>
        <c:minorTickMark val="none"/>
        <c:tickLblPos val="nextTo"/>
        <c:crossAx val="5554961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H$8" max="45" noThreeD="1" page="10" val="11"/>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5.png"/><Relationship Id="rId7" Type="http://schemas.openxmlformats.org/officeDocument/2006/relationships/chart" Target="../charts/chart9.xml"/><Relationship Id="rId2" Type="http://schemas.openxmlformats.org/officeDocument/2006/relationships/image" Target="../media/image4.png"/><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9</xdr:col>
      <xdr:colOff>75154</xdr:colOff>
      <xdr:row>45</xdr:row>
      <xdr:rowOff>164353</xdr:rowOff>
    </xdr:from>
    <xdr:to>
      <xdr:col>25</xdr:col>
      <xdr:colOff>478118</xdr:colOff>
      <xdr:row>69</xdr:row>
      <xdr:rowOff>182732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7</xdr:col>
          <xdr:colOff>561975</xdr:colOff>
          <xdr:row>53</xdr:row>
          <xdr:rowOff>0</xdr:rowOff>
        </xdr:from>
        <xdr:to>
          <xdr:col>8</xdr:col>
          <xdr:colOff>9525</xdr:colOff>
          <xdr:row>55</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508019</xdr:colOff>
      <xdr:row>45</xdr:row>
      <xdr:rowOff>55281</xdr:rowOff>
    </xdr:from>
    <xdr:to>
      <xdr:col>16</xdr:col>
      <xdr:colOff>237584</xdr:colOff>
      <xdr:row>47</xdr:row>
      <xdr:rowOff>124011</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710725" y="9453281"/>
          <a:ext cx="954741"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16</xdr:col>
      <xdr:colOff>77712</xdr:colOff>
      <xdr:row>45</xdr:row>
      <xdr:rowOff>64247</xdr:rowOff>
    </xdr:from>
    <xdr:to>
      <xdr:col>17</xdr:col>
      <xdr:colOff>409405</xdr:colOff>
      <xdr:row>47</xdr:row>
      <xdr:rowOff>132978</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9505594" y="9462247"/>
          <a:ext cx="944282" cy="4870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11</a:t>
          </a:fld>
          <a:endParaRPr lang="en-US" sz="2400"/>
        </a:p>
      </xdr:txBody>
    </xdr:sp>
    <xdr:clientData/>
  </xdr:twoCellAnchor>
  <xdr:twoCellAnchor>
    <xdr:from>
      <xdr:col>17</xdr:col>
      <xdr:colOff>152439</xdr:colOff>
      <xdr:row>45</xdr:row>
      <xdr:rowOff>55281</xdr:rowOff>
    </xdr:from>
    <xdr:to>
      <xdr:col>18</xdr:col>
      <xdr:colOff>505051</xdr:colOff>
      <xdr:row>47</xdr:row>
      <xdr:rowOff>124011</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0192910" y="9453281"/>
          <a:ext cx="965200"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9</xdr:col>
      <xdr:colOff>49696</xdr:colOff>
      <xdr:row>71</xdr:row>
      <xdr:rowOff>55217</xdr:rowOff>
    </xdr:from>
    <xdr:to>
      <xdr:col>25</xdr:col>
      <xdr:colOff>480392</xdr:colOff>
      <xdr:row>93</xdr:row>
      <xdr:rowOff>82826</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118899</xdr:colOff>
      <xdr:row>71</xdr:row>
      <xdr:rowOff>71846</xdr:rowOff>
    </xdr:from>
    <xdr:to>
      <xdr:col>15</xdr:col>
      <xdr:colOff>466899</xdr:colOff>
      <xdr:row>73</xdr:row>
      <xdr:rowOff>79838</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390464" y="14621629"/>
          <a:ext cx="966435"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307027</xdr:colOff>
      <xdr:row>71</xdr:row>
      <xdr:rowOff>80812</xdr:rowOff>
    </xdr:from>
    <xdr:to>
      <xdr:col>17</xdr:col>
      <xdr:colOff>20285</xdr:colOff>
      <xdr:row>73</xdr:row>
      <xdr:rowOff>88805</xdr:rowOff>
    </xdr:to>
    <xdr:sp macro="" textlink="VIN_nom">
      <xdr:nvSpPr>
        <xdr:cNvPr id="9" name="TextBox 8">
          <a:extLst>
            <a:ext uri="{FF2B5EF4-FFF2-40B4-BE49-F238E27FC236}">
              <a16:creationId xmlns:a16="http://schemas.microsoft.com/office/drawing/2014/main" id="{00000000-0008-0000-0000-000009000000}"/>
            </a:ext>
          </a:extLst>
        </xdr:cNvPr>
        <xdr:cNvSpPr txBox="1"/>
      </xdr:nvSpPr>
      <xdr:spPr>
        <a:xfrm>
          <a:off x="9197027" y="14630595"/>
          <a:ext cx="950128" cy="4883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cs typeface="Calibri"/>
            </a:rPr>
            <a:pPr/>
            <a:t>11</a:t>
          </a:fld>
          <a:endParaRPr lang="en-US" sz="2400"/>
        </a:p>
      </xdr:txBody>
    </xdr:sp>
    <xdr:clientData/>
  </xdr:twoCellAnchor>
  <xdr:twoCellAnchor>
    <xdr:from>
      <xdr:col>16</xdr:col>
      <xdr:colOff>80660</xdr:colOff>
      <xdr:row>71</xdr:row>
      <xdr:rowOff>88411</xdr:rowOff>
    </xdr:from>
    <xdr:to>
      <xdr:col>17</xdr:col>
      <xdr:colOff>433271</xdr:colOff>
      <xdr:row>73</xdr:row>
      <xdr:rowOff>96403</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9589095" y="14638194"/>
          <a:ext cx="971046"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mc:AlternateContent xmlns:mc="http://schemas.openxmlformats.org/markup-compatibility/2006">
    <mc:Choice xmlns:a14="http://schemas.microsoft.com/office/drawing/2010/main" Requires="a14">
      <xdr:twoCellAnchor editAs="oneCell">
        <xdr:from>
          <xdr:col>10</xdr:col>
          <xdr:colOff>397695</xdr:colOff>
          <xdr:row>12</xdr:row>
          <xdr:rowOff>58159</xdr:rowOff>
        </xdr:from>
        <xdr:to>
          <xdr:col>25</xdr:col>
          <xdr:colOff>209669</xdr:colOff>
          <xdr:row>35</xdr:row>
          <xdr:rowOff>134695</xdr:rowOff>
        </xdr:to>
        <xdr:pic>
          <xdr:nvPicPr>
            <xdr:cNvPr id="6" name="Picture 5">
              <a:extLst>
                <a:ext uri="{FF2B5EF4-FFF2-40B4-BE49-F238E27FC236}">
                  <a16:creationId xmlns:a16="http://schemas.microsoft.com/office/drawing/2014/main" id="{00000000-0008-0000-0000-000006000000}"/>
                </a:ext>
              </a:extLst>
            </xdr:cNvPr>
            <xdr:cNvPicPr>
              <a:picLocks noChangeAspect="1"/>
              <a:extLst>
                <a:ext uri="{84589F7E-364E-4C9E-8A38-B11213B215E9}">
                  <a14:cameraTool cellRange="SCH" spid="_x0000_s1157"/>
                </a:ext>
              </a:extLst>
            </xdr:cNvPicPr>
          </xdr:nvPicPr>
          <xdr:blipFill>
            <a:blip xmlns:r="http://schemas.openxmlformats.org/officeDocument/2006/relationships" r:embed="rId3"/>
            <a:stretch>
              <a:fillRect/>
            </a:stretch>
          </xdr:blipFill>
          <xdr:spPr>
            <a:xfrm>
              <a:off x="6348019" y="2691541"/>
              <a:ext cx="8750234" cy="4469018"/>
            </a:xfrm>
            <a:prstGeom prst="rect">
              <a:avLst/>
            </a:prstGeom>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451597</xdr:colOff>
      <xdr:row>179</xdr:row>
      <xdr:rowOff>177800</xdr:rowOff>
    </xdr:from>
    <xdr:to>
      <xdr:col>16</xdr:col>
      <xdr:colOff>350744</xdr:colOff>
      <xdr:row>182</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037047" y="33204150"/>
          <a:ext cx="3810747" cy="4400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57150</xdr:colOff>
          <xdr:row>110</xdr:row>
          <xdr:rowOff>0</xdr:rowOff>
        </xdr:from>
        <xdr:to>
          <xdr:col>13</xdr:col>
          <xdr:colOff>19050</xdr:colOff>
          <xdr:row>112</xdr:row>
          <xdr:rowOff>28575</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19051</xdr:colOff>
      <xdr:row>149</xdr:row>
      <xdr:rowOff>17931</xdr:rowOff>
    </xdr:from>
    <xdr:to>
      <xdr:col>14</xdr:col>
      <xdr:colOff>583081</xdr:colOff>
      <xdr:row>157</xdr:row>
      <xdr:rowOff>107951</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994901" y="27335631"/>
          <a:ext cx="3866030" cy="1563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p>
        <a:p>
          <a:endParaRPr lang="en-US" sz="1100" baseline="0"/>
        </a:p>
        <a:p>
          <a:r>
            <a:rPr lang="en-US" sz="1100" b="1" baseline="0"/>
            <a:t>Includes the effect of slope compensation. To help with the calculations the applicaiton note detailing component selection does not include loop compensation</a:t>
          </a:r>
          <a:endParaRPr lang="en-US" sz="1100" b="1"/>
        </a:p>
      </xdr:txBody>
    </xdr:sp>
    <xdr:clientData/>
  </xdr:twoCellAnchor>
  <xdr:twoCellAnchor>
    <xdr:from>
      <xdr:col>3</xdr:col>
      <xdr:colOff>660400</xdr:colOff>
      <xdr:row>182</xdr:row>
      <xdr:rowOff>165100</xdr:rowOff>
    </xdr:from>
    <xdr:to>
      <xdr:col>9</xdr:col>
      <xdr:colOff>311150</xdr:colOff>
      <xdr:row>186</xdr:row>
      <xdr:rowOff>88900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794250" y="33928050"/>
          <a:ext cx="549275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Flexible</a:t>
          </a:r>
          <a:r>
            <a:rPr lang="en-US" sz="1100" baseline="0"/>
            <a:t> equations see the MathCad file for these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76</xdr:col>
      <xdr:colOff>197810</xdr:colOff>
      <xdr:row>6</xdr:row>
      <xdr:rowOff>107149</xdr:rowOff>
    </xdr:from>
    <xdr:to>
      <xdr:col>85</xdr:col>
      <xdr:colOff>2406</xdr:colOff>
      <xdr:row>25</xdr:row>
      <xdr:rowOff>110908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228022</xdr:colOff>
      <xdr:row>12</xdr:row>
      <xdr:rowOff>102466</xdr:rowOff>
    </xdr:from>
    <xdr:to>
      <xdr:col>66</xdr:col>
      <xdr:colOff>96573</xdr:colOff>
      <xdr:row>37</xdr:row>
      <xdr:rowOff>156894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515248</xdr:colOff>
      <xdr:row>45</xdr:row>
      <xdr:rowOff>69931</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36</xdr:row>
      <xdr:rowOff>8964</xdr:rowOff>
    </xdr:from>
    <xdr:to>
      <xdr:col>11</xdr:col>
      <xdr:colOff>591031</xdr:colOff>
      <xdr:row>44</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53</xdr:row>
      <xdr:rowOff>13855</xdr:rowOff>
    </xdr:from>
    <xdr:to>
      <xdr:col>12</xdr:col>
      <xdr:colOff>83127</xdr:colOff>
      <xdr:row>64</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xdr:from>
      <xdr:col>6</xdr:col>
      <xdr:colOff>507999</xdr:colOff>
      <xdr:row>37</xdr:row>
      <xdr:rowOff>44824</xdr:rowOff>
    </xdr:from>
    <xdr:to>
      <xdr:col>12</xdr:col>
      <xdr:colOff>530411</xdr:colOff>
      <xdr:row>43</xdr:row>
      <xdr:rowOff>164354</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6716058" y="6940177"/>
          <a:ext cx="3697941" cy="1240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Specific</a:t>
          </a:r>
          <a:r>
            <a:rPr lang="en-US" sz="1100" baseline="0"/>
            <a:t> to the LM5123 and LM5152. See datasheet for details</a:t>
          </a:r>
        </a:p>
        <a:p>
          <a:endParaRPr lang="en-US" sz="1100" baseline="0"/>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28575</xdr:colOff>
          <xdr:row>2</xdr:row>
          <xdr:rowOff>0</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00000000-0008-0000-0600-000002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28575</xdr:colOff>
          <xdr:row>5</xdr:row>
          <xdr:rowOff>9525</xdr:rowOff>
        </xdr:to>
        <xdr:sp macro="" textlink="">
          <xdr:nvSpPr>
            <xdr:cNvPr id="10243" name="Object 3" hidden="1">
              <a:extLst>
                <a:ext uri="{63B3BB69-23CF-44E3-9099-C40C66FF867C}">
                  <a14:compatExt spid="_x0000_s10243"/>
                </a:ext>
                <a:ext uri="{FF2B5EF4-FFF2-40B4-BE49-F238E27FC236}">
                  <a16:creationId xmlns:a16="http://schemas.microsoft.com/office/drawing/2014/main" id="{00000000-0008-0000-0600-000003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28575</xdr:colOff>
          <xdr:row>7</xdr:row>
          <xdr:rowOff>9525</xdr:rowOff>
        </xdr:to>
        <xdr:sp macro="" textlink="">
          <xdr:nvSpPr>
            <xdr:cNvPr id="10246" name="Object 6" hidden="1">
              <a:extLst>
                <a:ext uri="{63B3BB69-23CF-44E3-9099-C40C66FF867C}">
                  <a14:compatExt spid="_x0000_s10246"/>
                </a:ext>
                <a:ext uri="{FF2B5EF4-FFF2-40B4-BE49-F238E27FC236}">
                  <a16:creationId xmlns:a16="http://schemas.microsoft.com/office/drawing/2014/main" id="{00000000-0008-0000-0600-000006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package" Target="../embeddings/Microsoft_Visio_Drawing2.vsdx"/><Relationship Id="rId3" Type="http://schemas.openxmlformats.org/officeDocument/2006/relationships/vmlDrawing" Target="../drawings/vmlDrawing5.vml"/><Relationship Id="rId7" Type="http://schemas.openxmlformats.org/officeDocument/2006/relationships/image" Target="../media/image9.emf"/><Relationship Id="rId2" Type="http://schemas.openxmlformats.org/officeDocument/2006/relationships/drawing" Target="../drawings/drawing7.xml"/><Relationship Id="rId1" Type="http://schemas.openxmlformats.org/officeDocument/2006/relationships/printerSettings" Target="../printerSettings/printerSettings6.bin"/><Relationship Id="rId6" Type="http://schemas.openxmlformats.org/officeDocument/2006/relationships/package" Target="../embeddings/Microsoft_Visio_Drawing1.vsdx"/><Relationship Id="rId5" Type="http://schemas.openxmlformats.org/officeDocument/2006/relationships/image" Target="../media/image8.emf"/><Relationship Id="rId4" Type="http://schemas.openxmlformats.org/officeDocument/2006/relationships/package" Target="../embeddings/Microsoft_Visio_Drawing.vsdx"/><Relationship Id="rId9" Type="http://schemas.openxmlformats.org/officeDocument/2006/relationships/image" Target="../media/image10.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98"/>
  <sheetViews>
    <sheetView tabSelected="1" topLeftCell="D37" zoomScaleNormal="100" workbookViewId="0">
      <selection activeCell="K43" sqref="K43"/>
    </sheetView>
  </sheetViews>
  <sheetFormatPr baseColWidth="10" defaultColWidth="8.85546875" defaultRowHeight="15" x14ac:dyDescent="0.25"/>
  <cols>
    <col min="1" max="6" width="8.85546875" style="91" customWidth="1"/>
    <col min="7" max="7" width="8.85546875" style="131" customWidth="1"/>
    <col min="8" max="8" width="12" style="91" bestFit="1" customWidth="1"/>
    <col min="9" max="9" width="8.28515625" style="91" bestFit="1" customWidth="1"/>
    <col min="10" max="10" width="4.85546875" style="91" customWidth="1"/>
    <col min="11" max="21" width="8.85546875" style="91" customWidth="1"/>
    <col min="22" max="22" width="7.140625" style="91" customWidth="1"/>
    <col min="23" max="26" width="8.85546875" style="91" customWidth="1"/>
    <col min="27" max="27" width="1.85546875" style="132" customWidth="1"/>
    <col min="28" max="16384" width="8.85546875" style="91"/>
  </cols>
  <sheetData>
    <row r="1" spans="1:27" ht="46.7" customHeight="1" x14ac:dyDescent="0.25">
      <c r="A1" s="87"/>
      <c r="B1" s="87"/>
      <c r="C1" s="87"/>
      <c r="D1" s="87"/>
      <c r="E1" s="88" t="s">
        <v>517</v>
      </c>
      <c r="F1" s="87"/>
      <c r="G1" s="89"/>
      <c r="H1" s="87"/>
      <c r="I1" s="87"/>
      <c r="J1" s="87"/>
      <c r="K1" s="87"/>
      <c r="L1" s="87"/>
      <c r="M1" s="87"/>
      <c r="N1" s="87"/>
      <c r="O1" s="87"/>
      <c r="P1" s="87"/>
      <c r="Q1" s="87"/>
      <c r="R1" s="87"/>
      <c r="S1" s="87"/>
      <c r="T1" s="87"/>
      <c r="U1" s="87"/>
      <c r="V1" s="87"/>
      <c r="W1" s="87"/>
      <c r="X1" s="87"/>
      <c r="Y1" s="87"/>
      <c r="Z1" s="87"/>
      <c r="AA1" s="90"/>
    </row>
    <row r="2" spans="1:27" x14ac:dyDescent="0.25">
      <c r="A2" s="92"/>
      <c r="B2" s="92"/>
      <c r="C2" s="92"/>
      <c r="D2" s="92"/>
      <c r="E2" s="92"/>
      <c r="F2" s="92"/>
      <c r="G2" s="93"/>
      <c r="H2" s="92"/>
      <c r="I2" s="92"/>
      <c r="J2" s="92"/>
      <c r="K2" s="92"/>
      <c r="L2" s="92"/>
      <c r="M2" s="92"/>
      <c r="N2" s="92"/>
      <c r="O2" s="92"/>
      <c r="P2" s="92"/>
      <c r="Q2" s="92"/>
      <c r="R2" s="92"/>
      <c r="S2" s="92"/>
      <c r="T2" s="92"/>
      <c r="U2" s="92"/>
      <c r="V2" s="92"/>
      <c r="W2" s="92"/>
      <c r="X2" s="92"/>
      <c r="Y2" s="92"/>
      <c r="Z2" s="92"/>
      <c r="AA2" s="90"/>
    </row>
    <row r="3" spans="1:27" x14ac:dyDescent="0.25">
      <c r="A3" s="94" t="s">
        <v>1</v>
      </c>
      <c r="B3" s="92"/>
      <c r="C3" s="92"/>
      <c r="D3" s="92"/>
      <c r="E3" s="95"/>
      <c r="F3" s="96" t="s">
        <v>2</v>
      </c>
      <c r="G3" s="93"/>
      <c r="H3" s="92"/>
      <c r="I3" s="92"/>
      <c r="J3" s="92"/>
      <c r="K3" s="92"/>
      <c r="L3" s="92"/>
      <c r="M3" s="92"/>
      <c r="N3" s="92"/>
      <c r="O3" s="97" t="s">
        <v>0</v>
      </c>
      <c r="P3" s="92"/>
      <c r="Q3" s="92"/>
      <c r="R3" s="92"/>
      <c r="S3" s="92"/>
      <c r="T3" s="92"/>
      <c r="U3" s="92"/>
      <c r="V3" s="92"/>
      <c r="W3" s="92"/>
      <c r="X3" s="92"/>
      <c r="Y3" s="92"/>
      <c r="Z3" s="92"/>
      <c r="AA3" s="90"/>
    </row>
    <row r="4" spans="1:27" s="101" customFormat="1" x14ac:dyDescent="0.25">
      <c r="A4" s="98"/>
      <c r="B4" s="98"/>
      <c r="C4" s="98"/>
      <c r="D4" s="98"/>
      <c r="E4" s="98"/>
      <c r="F4" s="98"/>
      <c r="G4" s="99"/>
      <c r="H4" s="98"/>
      <c r="I4" s="98"/>
      <c r="J4" s="98"/>
      <c r="K4" s="98"/>
      <c r="L4" s="98"/>
      <c r="M4" s="98"/>
      <c r="N4" s="98"/>
      <c r="O4" s="98"/>
      <c r="P4" s="98"/>
      <c r="Q4" s="98"/>
      <c r="R4" s="98"/>
      <c r="S4" s="98"/>
      <c r="T4" s="98"/>
      <c r="U4" s="98"/>
      <c r="V4" s="98"/>
      <c r="W4" s="98"/>
      <c r="X4" s="98"/>
      <c r="Y4" s="98"/>
      <c r="Z4" s="98"/>
      <c r="AA4" s="100"/>
    </row>
    <row r="5" spans="1:27" x14ac:dyDescent="0.25">
      <c r="A5" s="102"/>
      <c r="B5" s="102"/>
      <c r="C5" s="102"/>
      <c r="D5" s="102"/>
      <c r="E5" s="102"/>
      <c r="F5" s="102"/>
      <c r="G5" s="103"/>
      <c r="H5" s="102"/>
      <c r="I5" s="102"/>
      <c r="J5" s="102"/>
      <c r="K5" s="102"/>
      <c r="L5" s="102"/>
      <c r="M5" s="102"/>
      <c r="N5" s="102"/>
      <c r="O5" s="102" t="s">
        <v>607</v>
      </c>
      <c r="P5" s="104" t="s">
        <v>608</v>
      </c>
      <c r="Q5" s="102"/>
      <c r="R5" s="102"/>
      <c r="S5" s="102"/>
      <c r="T5" s="102"/>
      <c r="U5" s="102"/>
      <c r="V5" s="102"/>
      <c r="W5" s="102"/>
      <c r="X5" s="102"/>
      <c r="Y5" s="102"/>
      <c r="Z5" s="102"/>
      <c r="AA5" s="90"/>
    </row>
    <row r="6" spans="1:27" ht="15.75" thickBot="1" x14ac:dyDescent="0.3">
      <c r="A6" s="117" t="s">
        <v>3</v>
      </c>
      <c r="B6" s="102"/>
      <c r="C6" s="102"/>
      <c r="D6" s="102"/>
      <c r="E6" s="102"/>
      <c r="F6" s="102"/>
      <c r="G6" s="103"/>
      <c r="H6" s="102"/>
      <c r="I6" s="102"/>
      <c r="J6" s="102"/>
      <c r="K6" s="102"/>
      <c r="L6" s="102"/>
      <c r="M6" s="102"/>
      <c r="N6" s="102"/>
      <c r="O6" s="102"/>
      <c r="P6" s="102"/>
      <c r="Q6" s="102"/>
      <c r="R6" s="102"/>
      <c r="S6" s="102"/>
      <c r="T6" s="102"/>
      <c r="U6" s="102"/>
      <c r="V6" s="102"/>
      <c r="W6" s="102"/>
      <c r="X6" s="102"/>
      <c r="Y6" s="102"/>
      <c r="Z6" s="102"/>
      <c r="AA6" s="90"/>
    </row>
    <row r="7" spans="1:27" x14ac:dyDescent="0.25">
      <c r="A7" s="105"/>
      <c r="B7" s="106"/>
      <c r="C7" s="106"/>
      <c r="D7" s="106"/>
      <c r="E7" s="106"/>
      <c r="F7" s="106"/>
      <c r="G7" s="107" t="s">
        <v>4</v>
      </c>
      <c r="H7" s="133">
        <v>11</v>
      </c>
      <c r="I7" s="108" t="s">
        <v>10</v>
      </c>
      <c r="J7" s="102"/>
      <c r="K7" s="102"/>
      <c r="L7" s="102"/>
      <c r="M7" s="102"/>
      <c r="N7" s="102"/>
      <c r="O7" s="102"/>
      <c r="P7" s="102"/>
      <c r="Q7" s="102"/>
      <c r="R7" s="102"/>
      <c r="S7" s="102"/>
      <c r="T7" s="102"/>
      <c r="U7" s="102"/>
      <c r="V7" s="102"/>
      <c r="W7" s="102"/>
      <c r="X7" s="102"/>
      <c r="Y7" s="102"/>
      <c r="Z7" s="102"/>
      <c r="AA7" s="90"/>
    </row>
    <row r="8" spans="1:27" x14ac:dyDescent="0.25">
      <c r="A8" s="109"/>
      <c r="B8" s="102"/>
      <c r="C8" s="102"/>
      <c r="D8" s="102"/>
      <c r="E8" s="102"/>
      <c r="F8" s="102"/>
      <c r="G8" s="110" t="s">
        <v>5</v>
      </c>
      <c r="H8" s="134">
        <v>11</v>
      </c>
      <c r="I8" s="111" t="s">
        <v>10</v>
      </c>
      <c r="J8" s="102"/>
      <c r="K8" s="102"/>
      <c r="L8" s="102"/>
      <c r="M8" s="102"/>
      <c r="N8" s="102"/>
      <c r="O8" s="102"/>
      <c r="P8" s="102"/>
      <c r="Q8" s="102"/>
      <c r="R8" s="102"/>
      <c r="S8" s="102"/>
      <c r="T8" s="102"/>
      <c r="U8" s="102"/>
      <c r="V8" s="102"/>
      <c r="W8" s="102"/>
      <c r="X8" s="102"/>
      <c r="Y8" s="102"/>
      <c r="Z8" s="102"/>
      <c r="AA8" s="90"/>
    </row>
    <row r="9" spans="1:27" x14ac:dyDescent="0.25">
      <c r="A9" s="109"/>
      <c r="B9" s="102"/>
      <c r="C9" s="102"/>
      <c r="D9" s="102"/>
      <c r="E9" s="102"/>
      <c r="F9" s="102"/>
      <c r="G9" s="110" t="s">
        <v>6</v>
      </c>
      <c r="H9" s="134">
        <v>22</v>
      </c>
      <c r="I9" s="111" t="s">
        <v>10</v>
      </c>
      <c r="J9" s="102"/>
      <c r="K9" s="102"/>
      <c r="L9" s="102"/>
      <c r="M9" s="102"/>
      <c r="N9" s="102"/>
      <c r="O9" s="102"/>
      <c r="P9" s="102"/>
      <c r="Q9" s="102"/>
      <c r="R9" s="102"/>
      <c r="S9" s="102"/>
      <c r="T9" s="102"/>
      <c r="U9" s="102"/>
      <c r="V9" s="102"/>
      <c r="W9" s="102"/>
      <c r="X9" s="102"/>
      <c r="Y9" s="102"/>
      <c r="Z9" s="102"/>
      <c r="AA9" s="90"/>
    </row>
    <row r="10" spans="1:27" x14ac:dyDescent="0.25">
      <c r="A10" s="109"/>
      <c r="B10" s="102"/>
      <c r="C10" s="102"/>
      <c r="D10" s="102"/>
      <c r="E10" s="102"/>
      <c r="F10" s="102"/>
      <c r="G10" s="110" t="s">
        <v>7</v>
      </c>
      <c r="H10" s="134">
        <v>53.5</v>
      </c>
      <c r="I10" s="111" t="s">
        <v>10</v>
      </c>
      <c r="J10" s="102"/>
      <c r="K10" s="102"/>
      <c r="L10" s="102"/>
      <c r="M10" s="102"/>
      <c r="N10" s="102"/>
      <c r="O10" s="102"/>
      <c r="P10" s="102"/>
      <c r="Q10" s="102"/>
      <c r="R10" s="102"/>
      <c r="S10" s="102"/>
      <c r="T10" s="102"/>
      <c r="U10" s="102"/>
      <c r="V10" s="102"/>
      <c r="W10" s="102"/>
      <c r="X10" s="102"/>
      <c r="Y10" s="102"/>
      <c r="Z10" s="102"/>
      <c r="AA10" s="90"/>
    </row>
    <row r="11" spans="1:27" x14ac:dyDescent="0.25">
      <c r="A11" s="109"/>
      <c r="B11" s="102"/>
      <c r="C11" s="102"/>
      <c r="D11" s="102"/>
      <c r="E11" s="102"/>
      <c r="F11" s="102"/>
      <c r="G11" s="110" t="s">
        <v>8</v>
      </c>
      <c r="H11" s="210">
        <v>6</v>
      </c>
      <c r="I11" s="111" t="s">
        <v>11</v>
      </c>
      <c r="J11" s="102"/>
      <c r="K11" s="102"/>
      <c r="L11" s="102"/>
      <c r="M11" s="102"/>
      <c r="N11" s="102"/>
      <c r="O11" s="102"/>
      <c r="P11" s="102"/>
      <c r="Q11" s="102"/>
      <c r="R11" s="102"/>
      <c r="S11" s="102"/>
      <c r="T11" s="102"/>
      <c r="U11" s="102"/>
      <c r="V11" s="102"/>
      <c r="W11" s="102"/>
      <c r="X11" s="102"/>
      <c r="Y11" s="102"/>
      <c r="Z11" s="102"/>
      <c r="AA11" s="90"/>
    </row>
    <row r="12" spans="1:27" x14ac:dyDescent="0.25">
      <c r="A12" s="109"/>
      <c r="B12" s="102"/>
      <c r="C12" s="102"/>
      <c r="D12" s="102"/>
      <c r="E12" s="102"/>
      <c r="F12" s="102"/>
      <c r="G12" s="110" t="s">
        <v>521</v>
      </c>
      <c r="H12" s="211" t="s">
        <v>609</v>
      </c>
      <c r="I12" s="212"/>
      <c r="J12" s="102"/>
      <c r="K12" s="102"/>
      <c r="L12" s="102"/>
      <c r="M12" s="102"/>
      <c r="N12" s="102"/>
      <c r="O12" s="102"/>
      <c r="P12" s="102"/>
      <c r="Q12" s="102"/>
      <c r="R12" s="102"/>
      <c r="S12" s="102"/>
      <c r="T12" s="102"/>
      <c r="U12" s="102"/>
      <c r="V12" s="102"/>
      <c r="W12" s="102"/>
      <c r="X12" s="102"/>
      <c r="Y12" s="102"/>
      <c r="Z12" s="102"/>
      <c r="AA12" s="90"/>
    </row>
    <row r="13" spans="1:27" x14ac:dyDescent="0.25">
      <c r="A13" s="109"/>
      <c r="B13" s="102"/>
      <c r="C13" s="102"/>
      <c r="D13" s="102"/>
      <c r="E13" s="102"/>
      <c r="F13" s="102"/>
      <c r="G13" s="110" t="s">
        <v>9</v>
      </c>
      <c r="H13" s="134">
        <v>1000</v>
      </c>
      <c r="I13" s="111" t="s">
        <v>12</v>
      </c>
      <c r="J13" s="102"/>
      <c r="K13" s="102"/>
      <c r="L13" s="102"/>
      <c r="M13" s="102"/>
      <c r="N13" s="102"/>
      <c r="O13" s="102"/>
      <c r="P13" s="102"/>
      <c r="Q13" s="102"/>
      <c r="R13" s="102"/>
      <c r="S13" s="102"/>
      <c r="T13" s="102"/>
      <c r="U13" s="102"/>
      <c r="V13" s="102"/>
      <c r="W13" s="102"/>
      <c r="X13" s="102"/>
      <c r="Y13" s="102"/>
      <c r="Z13" s="102"/>
      <c r="AA13" s="90"/>
    </row>
    <row r="14" spans="1:27" x14ac:dyDescent="0.25">
      <c r="A14" s="109"/>
      <c r="B14" s="102"/>
      <c r="C14" s="102"/>
      <c r="D14" s="102"/>
      <c r="E14" s="102"/>
      <c r="F14" s="102"/>
      <c r="G14" s="110" t="s">
        <v>70</v>
      </c>
      <c r="H14" s="135">
        <f>RT/1000</f>
        <v>21.145</v>
      </c>
      <c r="I14" s="111" t="s">
        <v>71</v>
      </c>
      <c r="J14" s="102"/>
      <c r="K14" s="102"/>
      <c r="L14" s="102"/>
      <c r="M14" s="102"/>
      <c r="N14" s="102"/>
      <c r="O14" s="102"/>
      <c r="P14" s="102"/>
      <c r="Q14" s="102"/>
      <c r="R14" s="102"/>
      <c r="S14" s="102"/>
      <c r="T14" s="102"/>
      <c r="U14" s="102"/>
      <c r="V14" s="102"/>
      <c r="W14" s="102"/>
      <c r="X14" s="102"/>
      <c r="Y14" s="102"/>
      <c r="Z14" s="102"/>
      <c r="AA14" s="90"/>
    </row>
    <row r="15" spans="1:27" x14ac:dyDescent="0.25">
      <c r="A15" s="109"/>
      <c r="B15" s="102"/>
      <c r="C15" s="102"/>
      <c r="D15" s="102"/>
      <c r="E15" s="102"/>
      <c r="F15" s="102"/>
      <c r="G15" s="110" t="s">
        <v>14</v>
      </c>
      <c r="H15" s="163">
        <f>POUT</f>
        <v>321</v>
      </c>
      <c r="I15" s="111" t="s">
        <v>38</v>
      </c>
      <c r="J15" s="102"/>
      <c r="K15" s="102"/>
      <c r="L15" s="102"/>
      <c r="M15" s="102"/>
      <c r="N15" s="102"/>
      <c r="O15" s="102"/>
      <c r="P15" s="102"/>
      <c r="Q15" s="102"/>
      <c r="R15" s="102"/>
      <c r="S15" s="102"/>
      <c r="T15" s="102"/>
      <c r="U15" s="102"/>
      <c r="V15" s="102"/>
      <c r="W15" s="102"/>
      <c r="X15" s="102"/>
      <c r="Y15" s="102"/>
      <c r="Z15" s="102"/>
      <c r="AA15" s="90"/>
    </row>
    <row r="16" spans="1:27" x14ac:dyDescent="0.25">
      <c r="A16" s="112"/>
      <c r="B16" s="113"/>
      <c r="C16" s="113"/>
      <c r="D16" s="113"/>
      <c r="E16" s="113"/>
      <c r="F16" s="102"/>
      <c r="G16" s="114" t="s">
        <v>516</v>
      </c>
      <c r="H16" s="163">
        <f>Dc_max_IC*100</f>
        <v>88</v>
      </c>
      <c r="I16" s="111" t="s">
        <v>13</v>
      </c>
      <c r="J16" s="102"/>
      <c r="K16" s="102"/>
      <c r="L16" s="102"/>
      <c r="M16" s="102"/>
      <c r="N16" s="102"/>
      <c r="O16" s="102"/>
      <c r="P16" s="102"/>
      <c r="Q16" s="102"/>
      <c r="R16" s="102"/>
      <c r="S16" s="102"/>
      <c r="T16" s="102"/>
      <c r="U16" s="102"/>
      <c r="V16" s="102"/>
      <c r="W16" s="102"/>
      <c r="X16" s="102"/>
      <c r="Y16" s="102"/>
      <c r="Z16" s="102"/>
      <c r="AA16" s="90"/>
    </row>
    <row r="17" spans="1:27" ht="15.75" thickBot="1" x14ac:dyDescent="0.3">
      <c r="A17" s="161"/>
      <c r="B17" s="162"/>
      <c r="C17" s="162"/>
      <c r="D17" s="162"/>
      <c r="E17" s="162"/>
      <c r="F17" s="115"/>
      <c r="G17" s="204" t="s">
        <v>414</v>
      </c>
      <c r="H17" s="205">
        <f>Variable_Management!B22*100</f>
        <v>79.43925233644859</v>
      </c>
      <c r="I17" s="116" t="s">
        <v>13</v>
      </c>
      <c r="J17" s="102"/>
      <c r="K17" s="102"/>
      <c r="L17" s="102"/>
      <c r="M17" s="102"/>
      <c r="N17" s="102"/>
      <c r="O17" s="102"/>
      <c r="P17" s="102"/>
      <c r="Q17" s="102"/>
      <c r="R17" s="102"/>
      <c r="S17" s="102"/>
      <c r="T17" s="102"/>
      <c r="U17" s="102"/>
      <c r="V17" s="102"/>
      <c r="W17" s="102"/>
      <c r="X17" s="102"/>
      <c r="Y17" s="102"/>
      <c r="Z17" s="102"/>
      <c r="AA17" s="90"/>
    </row>
    <row r="18" spans="1:27" x14ac:dyDescent="0.25">
      <c r="A18" s="113"/>
      <c r="B18" s="113"/>
      <c r="C18" s="113"/>
      <c r="D18" s="113"/>
      <c r="E18" s="113"/>
      <c r="F18" s="102"/>
      <c r="G18" s="103"/>
      <c r="H18" s="102"/>
      <c r="I18" s="102"/>
      <c r="J18" s="102"/>
      <c r="K18" s="102"/>
      <c r="L18" s="102"/>
      <c r="M18" s="102"/>
      <c r="N18" s="102"/>
      <c r="O18" s="102"/>
      <c r="P18" s="102"/>
      <c r="Q18" s="102"/>
      <c r="R18" s="102"/>
      <c r="S18" s="102"/>
      <c r="T18" s="102"/>
      <c r="U18" s="102"/>
      <c r="V18" s="102"/>
      <c r="W18" s="102"/>
      <c r="X18" s="102"/>
      <c r="Y18" s="102"/>
      <c r="Z18" s="102"/>
      <c r="AA18" s="90"/>
    </row>
    <row r="19" spans="1:27" ht="15.75" thickBot="1" x14ac:dyDescent="0.3">
      <c r="A19" s="117" t="s">
        <v>72</v>
      </c>
      <c r="B19" s="113"/>
      <c r="C19" s="113"/>
      <c r="D19" s="113"/>
      <c r="E19" s="113"/>
      <c r="F19" s="102"/>
      <c r="G19" s="103"/>
      <c r="H19" s="102"/>
      <c r="I19" s="102"/>
      <c r="J19" s="102"/>
      <c r="K19" s="102"/>
      <c r="L19" s="102"/>
      <c r="M19" s="102"/>
      <c r="N19" s="102"/>
      <c r="O19" s="102"/>
      <c r="P19" s="102"/>
      <c r="Q19" s="102"/>
      <c r="R19" s="102"/>
      <c r="S19" s="102"/>
      <c r="T19" s="102"/>
      <c r="U19" s="102"/>
      <c r="V19" s="102"/>
      <c r="W19" s="102"/>
      <c r="X19" s="102"/>
      <c r="Y19" s="102"/>
      <c r="Z19" s="102"/>
      <c r="AA19" s="90"/>
    </row>
    <row r="20" spans="1:27" ht="18" x14ac:dyDescent="0.35">
      <c r="A20" s="125"/>
      <c r="B20" s="118"/>
      <c r="C20" s="118"/>
      <c r="D20" s="118"/>
      <c r="E20" s="118"/>
      <c r="F20" s="106"/>
      <c r="G20" s="124" t="s">
        <v>524</v>
      </c>
      <c r="H20" s="157" t="str">
        <f>CHOOSE(Variable_Management!B25, "DCM","CCM")</f>
        <v>CCM</v>
      </c>
      <c r="I20" s="108"/>
      <c r="J20" s="102"/>
      <c r="K20" s="102"/>
      <c r="L20" s="102"/>
      <c r="M20" s="102"/>
      <c r="N20" s="102"/>
      <c r="O20" s="102"/>
      <c r="P20" s="102"/>
      <c r="Q20" s="102"/>
      <c r="R20" s="102"/>
      <c r="S20" s="102"/>
      <c r="T20" s="102"/>
      <c r="U20" s="102"/>
      <c r="V20" s="102"/>
      <c r="W20" s="102"/>
      <c r="X20" s="102"/>
      <c r="Y20" s="102"/>
      <c r="Z20" s="102"/>
      <c r="AA20" s="90"/>
    </row>
    <row r="21" spans="1:27" x14ac:dyDescent="0.25">
      <c r="A21" s="112"/>
      <c r="B21" s="113"/>
      <c r="C21" s="113"/>
      <c r="D21" s="113"/>
      <c r="E21" s="113"/>
      <c r="F21" s="102"/>
      <c r="G21" s="110" t="str">
        <f>CHOOSE(Variable_Management!B25,"Maximum duty cycle at the minimum supply voltage","Desired Maximum Inductor Current Ripple Ratio")</f>
        <v>Desired Maximum Inductor Current Ripple Ratio</v>
      </c>
      <c r="H21" s="134">
        <v>60</v>
      </c>
      <c r="I21" s="111" t="s">
        <v>13</v>
      </c>
      <c r="J21" s="102"/>
      <c r="K21" s="102"/>
      <c r="L21" s="102"/>
      <c r="M21" s="102"/>
      <c r="N21" s="102"/>
      <c r="O21" s="102"/>
      <c r="P21" s="102"/>
      <c r="Q21" s="102"/>
      <c r="R21" s="102"/>
      <c r="S21" s="102"/>
      <c r="T21" s="102"/>
      <c r="U21" s="102"/>
      <c r="V21" s="102"/>
      <c r="W21" s="102"/>
      <c r="X21" s="102"/>
      <c r="Y21" s="102"/>
      <c r="Z21" s="102"/>
      <c r="AA21" s="90"/>
    </row>
    <row r="22" spans="1:27" x14ac:dyDescent="0.25">
      <c r="A22" s="109"/>
      <c r="B22" s="102"/>
      <c r="C22" s="102"/>
      <c r="D22" s="102"/>
      <c r="E22" s="102"/>
      <c r="F22" s="102"/>
      <c r="G22" s="110" t="s">
        <v>390</v>
      </c>
      <c r="H22" s="137">
        <f>CHOOSE(Variable_Management!B25,Variable_Management!B45*10^9,Variable_Management!B45*10^6)</f>
        <v>1.4796052056948212</v>
      </c>
      <c r="I22" s="111" t="str">
        <f>CHOOSE(Variable_Management!B25,"nH","uH")</f>
        <v>uH</v>
      </c>
      <c r="J22" s="102"/>
      <c r="K22" s="102"/>
      <c r="L22" s="102"/>
      <c r="M22" s="102"/>
      <c r="N22" s="102"/>
      <c r="O22" s="102"/>
      <c r="P22" s="102"/>
      <c r="Q22" s="102"/>
      <c r="R22" s="102"/>
      <c r="S22" s="102"/>
      <c r="T22" s="102"/>
      <c r="U22" s="102"/>
      <c r="V22" s="102"/>
      <c r="W22" s="102"/>
      <c r="X22" s="102"/>
      <c r="Y22" s="102"/>
      <c r="Z22" s="102"/>
      <c r="AA22" s="90"/>
    </row>
    <row r="23" spans="1:27" x14ac:dyDescent="0.25">
      <c r="A23" s="109"/>
      <c r="B23" s="102"/>
      <c r="C23" s="102"/>
      <c r="D23" s="102"/>
      <c r="E23" s="102"/>
      <c r="F23" s="102"/>
      <c r="G23" s="110" t="s">
        <v>391</v>
      </c>
      <c r="H23" s="134">
        <v>1.5</v>
      </c>
      <c r="I23" s="111" t="str">
        <f>CHOOSE(Variable_Management!B25,"nH","uH")</f>
        <v>uH</v>
      </c>
      <c r="J23" s="102"/>
      <c r="K23" s="102"/>
      <c r="L23" s="102"/>
      <c r="M23" s="102"/>
      <c r="N23" s="102"/>
      <c r="O23" s="102"/>
      <c r="P23" s="102"/>
      <c r="Q23" s="102"/>
      <c r="R23" s="102"/>
      <c r="S23" s="102"/>
      <c r="T23" s="102"/>
      <c r="U23" s="102"/>
      <c r="V23" s="102"/>
      <c r="W23" s="102"/>
      <c r="X23" s="102"/>
      <c r="Y23" s="102"/>
      <c r="Z23" s="102"/>
      <c r="AA23" s="90"/>
    </row>
    <row r="24" spans="1:27" x14ac:dyDescent="0.25">
      <c r="A24" s="109"/>
      <c r="B24" s="102"/>
      <c r="C24" s="102"/>
      <c r="D24" s="102"/>
      <c r="E24" s="102"/>
      <c r="F24" s="102"/>
      <c r="G24" s="110" t="s">
        <v>76</v>
      </c>
      <c r="H24" s="134">
        <v>2.2999999999999998</v>
      </c>
      <c r="I24" s="111" t="s">
        <v>92</v>
      </c>
      <c r="J24" s="102"/>
      <c r="K24" s="102"/>
      <c r="L24" s="102"/>
      <c r="M24" s="102"/>
      <c r="N24" s="102"/>
      <c r="O24" s="102"/>
      <c r="P24" s="102"/>
      <c r="Q24" s="102"/>
      <c r="R24" s="102"/>
      <c r="S24" s="102"/>
      <c r="T24" s="102"/>
      <c r="U24" s="102"/>
      <c r="V24" s="102"/>
      <c r="W24" s="102"/>
      <c r="X24" s="102"/>
      <c r="Y24" s="102"/>
      <c r="Z24" s="102"/>
      <c r="AA24" s="90"/>
    </row>
    <row r="25" spans="1:27" ht="15.75" thickBot="1" x14ac:dyDescent="0.3">
      <c r="A25" s="119"/>
      <c r="B25" s="115"/>
      <c r="C25" s="115"/>
      <c r="D25" s="115"/>
      <c r="E25" s="115"/>
      <c r="F25" s="115"/>
      <c r="G25" s="120" t="s">
        <v>93</v>
      </c>
      <c r="H25" s="138">
        <f>ILp_VINmin</f>
        <v>32.094590767487965</v>
      </c>
      <c r="I25" s="116" t="s">
        <v>11</v>
      </c>
      <c r="J25" s="102"/>
      <c r="K25" s="102"/>
      <c r="L25" s="102"/>
      <c r="M25" s="102"/>
      <c r="N25" s="102"/>
      <c r="O25" s="102"/>
      <c r="P25" s="102"/>
      <c r="Q25" s="102"/>
      <c r="R25" s="102"/>
      <c r="S25" s="102"/>
      <c r="T25" s="102"/>
      <c r="U25" s="102"/>
      <c r="V25" s="102"/>
      <c r="W25" s="102"/>
      <c r="X25" s="102"/>
      <c r="Y25" s="102"/>
      <c r="Z25" s="102"/>
      <c r="AA25" s="90"/>
    </row>
    <row r="26" spans="1:27" x14ac:dyDescent="0.25">
      <c r="A26" s="102"/>
      <c r="B26" s="102"/>
      <c r="C26" s="102"/>
      <c r="D26" s="102"/>
      <c r="E26" s="102"/>
      <c r="F26" s="102"/>
      <c r="G26" s="103"/>
      <c r="H26" s="102"/>
      <c r="I26" s="102"/>
      <c r="J26" s="102"/>
      <c r="K26" s="102"/>
      <c r="L26" s="102"/>
      <c r="M26" s="102"/>
      <c r="N26" s="102"/>
      <c r="O26" s="102"/>
      <c r="P26" s="102"/>
      <c r="Q26" s="102"/>
      <c r="R26" s="102"/>
      <c r="S26" s="102"/>
      <c r="T26" s="102"/>
      <c r="U26" s="102"/>
      <c r="V26" s="102"/>
      <c r="W26" s="102"/>
      <c r="X26" s="102"/>
      <c r="Y26" s="102"/>
      <c r="Z26" s="102"/>
      <c r="AA26" s="90"/>
    </row>
    <row r="27" spans="1:27" ht="15.75" thickBot="1" x14ac:dyDescent="0.3">
      <c r="A27" s="117" t="s">
        <v>112</v>
      </c>
      <c r="B27" s="102"/>
      <c r="C27" s="102"/>
      <c r="D27" s="102"/>
      <c r="E27" s="102"/>
      <c r="F27" s="102"/>
      <c r="G27" s="103"/>
      <c r="H27" s="102"/>
      <c r="I27" s="102"/>
      <c r="J27" s="102"/>
      <c r="K27" s="102"/>
      <c r="L27" s="102"/>
      <c r="M27" s="102"/>
      <c r="N27" s="102"/>
      <c r="O27" s="102"/>
      <c r="P27" s="102"/>
      <c r="Q27" s="102"/>
      <c r="R27" s="102"/>
      <c r="S27" s="102"/>
      <c r="T27" s="102"/>
      <c r="U27" s="102"/>
      <c r="V27" s="102"/>
      <c r="W27" s="102"/>
      <c r="X27" s="102"/>
      <c r="Y27" s="102"/>
      <c r="Z27" s="102"/>
      <c r="AA27" s="90"/>
    </row>
    <row r="28" spans="1:27" x14ac:dyDescent="0.25">
      <c r="A28" s="105"/>
      <c r="B28" s="106"/>
      <c r="C28" s="106"/>
      <c r="D28" s="106"/>
      <c r="E28" s="106"/>
      <c r="F28" s="106"/>
      <c r="G28" s="107" t="s">
        <v>415</v>
      </c>
      <c r="H28" s="133">
        <v>30</v>
      </c>
      <c r="I28" s="108" t="s">
        <v>13</v>
      </c>
      <c r="J28" s="102"/>
      <c r="K28" s="102"/>
      <c r="L28" s="102"/>
      <c r="M28" s="102"/>
      <c r="N28" s="102"/>
      <c r="O28" s="102"/>
      <c r="P28" s="102"/>
      <c r="Q28" s="102"/>
      <c r="R28" s="102"/>
      <c r="S28" s="102"/>
      <c r="T28" s="102"/>
      <c r="U28" s="102"/>
      <c r="V28" s="102"/>
      <c r="W28" s="102"/>
      <c r="X28" s="102"/>
      <c r="Y28" s="102"/>
      <c r="Z28" s="102"/>
      <c r="AA28" s="90"/>
    </row>
    <row r="29" spans="1:27" ht="18" x14ac:dyDescent="0.35">
      <c r="A29" s="109"/>
      <c r="B29" s="102"/>
      <c r="C29" s="102"/>
      <c r="D29" s="102"/>
      <c r="E29" s="102"/>
      <c r="F29" s="102"/>
      <c r="G29" s="103" t="s">
        <v>170</v>
      </c>
      <c r="H29" s="135">
        <f>Ipk_selected</f>
        <v>43.719618715437704</v>
      </c>
      <c r="I29" s="111" t="s">
        <v>11</v>
      </c>
      <c r="J29" s="102"/>
      <c r="K29" s="102"/>
      <c r="L29" s="102"/>
      <c r="M29" s="102"/>
      <c r="N29" s="102"/>
      <c r="O29" s="102"/>
      <c r="P29" s="102"/>
      <c r="Q29" s="102"/>
      <c r="R29" s="102"/>
      <c r="S29" s="102"/>
      <c r="T29" s="102"/>
      <c r="U29" s="102"/>
      <c r="V29" s="102"/>
      <c r="W29" s="102"/>
      <c r="X29" s="102"/>
      <c r="Y29" s="102"/>
      <c r="Z29" s="102"/>
      <c r="AA29" s="90"/>
    </row>
    <row r="30" spans="1:27" ht="18" x14ac:dyDescent="0.35">
      <c r="A30" s="109"/>
      <c r="B30" s="102"/>
      <c r="C30" s="102"/>
      <c r="D30" s="102"/>
      <c r="E30" s="102"/>
      <c r="F30" s="102"/>
      <c r="G30" s="103" t="s">
        <v>418</v>
      </c>
      <c r="H30" s="135">
        <f>Variable_Management!B87*1000</f>
        <v>1.372381593502177</v>
      </c>
      <c r="I30" s="111" t="s">
        <v>92</v>
      </c>
      <c r="J30" s="102"/>
      <c r="K30" s="102"/>
      <c r="L30" s="102"/>
      <c r="M30" s="102"/>
      <c r="N30" s="102"/>
      <c r="O30" s="102"/>
      <c r="P30" s="102"/>
      <c r="Q30" s="102"/>
      <c r="R30" s="102"/>
      <c r="S30" s="102"/>
      <c r="T30" s="102"/>
      <c r="U30" s="102"/>
      <c r="V30" s="102"/>
      <c r="W30" s="102"/>
      <c r="X30" s="102"/>
      <c r="Y30" s="102"/>
      <c r="Z30" s="102"/>
      <c r="AA30" s="90"/>
    </row>
    <row r="31" spans="1:27" ht="18" x14ac:dyDescent="0.35">
      <c r="A31" s="109"/>
      <c r="B31" s="102"/>
      <c r="C31" s="102"/>
      <c r="D31" s="102"/>
      <c r="E31" s="102"/>
      <c r="F31" s="102"/>
      <c r="G31" s="103" t="s">
        <v>419</v>
      </c>
      <c r="H31" s="134">
        <v>1.5</v>
      </c>
      <c r="I31" s="111" t="s">
        <v>92</v>
      </c>
      <c r="J31" s="102"/>
      <c r="K31" s="102"/>
      <c r="L31" s="102"/>
      <c r="M31" s="102"/>
      <c r="N31" s="102"/>
      <c r="O31" s="102"/>
      <c r="P31" s="102"/>
      <c r="Q31" s="102"/>
      <c r="R31" s="102"/>
      <c r="S31" s="102"/>
      <c r="T31" s="102"/>
      <c r="U31" s="102"/>
      <c r="V31" s="102"/>
      <c r="W31" s="102"/>
      <c r="X31" s="102"/>
      <c r="Y31" s="102"/>
      <c r="Z31" s="102"/>
      <c r="AA31" s="90"/>
    </row>
    <row r="32" spans="1:27" ht="15.75" thickBot="1" x14ac:dyDescent="0.3">
      <c r="A32" s="119"/>
      <c r="B32" s="115"/>
      <c r="C32" s="115"/>
      <c r="D32" s="115"/>
      <c r="E32" s="115"/>
      <c r="F32" s="115"/>
      <c r="G32" s="122" t="s">
        <v>143</v>
      </c>
      <c r="H32" s="139">
        <f>IL_pk_max</f>
        <v>40</v>
      </c>
      <c r="I32" s="123" t="s">
        <v>11</v>
      </c>
      <c r="J32" s="102"/>
      <c r="K32" s="102"/>
      <c r="L32" s="102"/>
      <c r="M32" s="102"/>
      <c r="N32" s="102"/>
      <c r="O32" s="102"/>
      <c r="P32" s="102"/>
      <c r="Q32" s="102"/>
      <c r="R32" s="102"/>
      <c r="S32" s="102"/>
      <c r="T32" s="102"/>
      <c r="U32" s="102"/>
      <c r="V32" s="102"/>
      <c r="W32" s="102"/>
      <c r="X32" s="102"/>
      <c r="Y32" s="102"/>
      <c r="Z32" s="102"/>
      <c r="AA32" s="90"/>
    </row>
    <row r="33" spans="1:27" x14ac:dyDescent="0.25">
      <c r="A33" s="102"/>
      <c r="B33" s="102"/>
      <c r="C33" s="102"/>
      <c r="D33" s="102"/>
      <c r="E33" s="102"/>
      <c r="F33" s="102"/>
      <c r="G33" s="103"/>
      <c r="H33" s="102"/>
      <c r="I33" s="102"/>
      <c r="J33" s="102"/>
      <c r="K33" s="102"/>
      <c r="L33" s="102"/>
      <c r="M33" s="102"/>
      <c r="N33" s="102"/>
      <c r="O33" s="102"/>
      <c r="P33" s="102"/>
      <c r="Q33" s="102"/>
      <c r="R33" s="102"/>
      <c r="S33" s="102"/>
      <c r="T33" s="102"/>
      <c r="U33" s="102"/>
      <c r="V33" s="102"/>
      <c r="W33" s="102"/>
      <c r="X33" s="102"/>
      <c r="Y33" s="102"/>
      <c r="Z33" s="102"/>
      <c r="AA33" s="90"/>
    </row>
    <row r="34" spans="1:27" ht="15.75" thickBot="1" x14ac:dyDescent="0.3">
      <c r="A34" s="117" t="s">
        <v>154</v>
      </c>
      <c r="B34" s="102"/>
      <c r="C34" s="102"/>
      <c r="D34" s="102"/>
      <c r="E34" s="102"/>
      <c r="F34" s="102"/>
      <c r="G34" s="103"/>
      <c r="H34" s="102"/>
      <c r="I34" s="102"/>
      <c r="J34" s="102"/>
      <c r="K34" s="102"/>
      <c r="L34" s="102"/>
      <c r="M34" s="102"/>
      <c r="N34" s="102"/>
      <c r="O34" s="102"/>
      <c r="P34" s="102"/>
      <c r="Q34" s="102"/>
      <c r="R34" s="102"/>
      <c r="S34" s="102"/>
      <c r="T34" s="102"/>
      <c r="U34" s="102"/>
      <c r="V34" s="102"/>
      <c r="W34" s="102"/>
      <c r="X34" s="102"/>
      <c r="Y34" s="102"/>
      <c r="Z34" s="102"/>
      <c r="AA34" s="90"/>
    </row>
    <row r="35" spans="1:27" ht="18" x14ac:dyDescent="0.35">
      <c r="A35" s="105"/>
      <c r="B35" s="106"/>
      <c r="C35" s="106"/>
      <c r="D35" s="106"/>
      <c r="E35" s="106"/>
      <c r="F35" s="106"/>
      <c r="G35" s="124" t="s">
        <v>451</v>
      </c>
      <c r="H35" s="133">
        <v>50</v>
      </c>
      <c r="I35" s="108" t="s">
        <v>155</v>
      </c>
      <c r="J35" s="102"/>
      <c r="K35" s="102"/>
      <c r="L35" s="102"/>
      <c r="M35" s="102"/>
      <c r="N35" s="102"/>
      <c r="O35" s="102"/>
      <c r="P35" s="102"/>
      <c r="Q35" s="102"/>
      <c r="R35" s="102"/>
      <c r="S35" s="102"/>
      <c r="T35" s="102"/>
      <c r="U35" s="102"/>
      <c r="V35" s="102"/>
      <c r="W35" s="102"/>
      <c r="X35" s="102"/>
      <c r="Y35" s="102"/>
      <c r="Z35" s="102"/>
      <c r="AA35" s="90"/>
    </row>
    <row r="36" spans="1:27" x14ac:dyDescent="0.25">
      <c r="A36" s="109"/>
      <c r="B36" s="102"/>
      <c r="C36" s="102"/>
      <c r="D36" s="102"/>
      <c r="E36" s="102"/>
      <c r="F36" s="102"/>
      <c r="G36" s="103" t="s">
        <v>156</v>
      </c>
      <c r="H36" s="135">
        <f>Cout_min*10^6</f>
        <v>1193.8016528925621</v>
      </c>
      <c r="I36" s="111" t="s">
        <v>157</v>
      </c>
      <c r="J36" s="102"/>
      <c r="K36" s="102"/>
      <c r="L36" s="102"/>
      <c r="M36" s="102"/>
      <c r="N36" s="102"/>
      <c r="O36" s="102"/>
      <c r="P36" s="102"/>
      <c r="Q36" s="102"/>
      <c r="R36" s="102"/>
      <c r="S36" s="102"/>
      <c r="T36" s="102"/>
      <c r="U36" s="102"/>
      <c r="V36" s="102"/>
      <c r="W36" s="102"/>
      <c r="X36" s="102"/>
      <c r="Y36" s="102"/>
      <c r="Z36" s="102"/>
      <c r="AA36" s="90"/>
    </row>
    <row r="37" spans="1:27" ht="18" x14ac:dyDescent="0.35">
      <c r="A37" s="109"/>
      <c r="B37" s="102"/>
      <c r="C37" s="102"/>
      <c r="D37" s="102"/>
      <c r="E37" s="102"/>
      <c r="F37" s="102"/>
      <c r="G37" s="103" t="s">
        <v>158</v>
      </c>
      <c r="H37" s="134">
        <v>1120</v>
      </c>
      <c r="I37" s="111" t="s">
        <v>157</v>
      </c>
      <c r="J37" s="102"/>
      <c r="K37" s="102"/>
      <c r="L37" s="102"/>
      <c r="M37" s="102"/>
      <c r="N37" s="102"/>
      <c r="O37" s="102"/>
      <c r="P37" s="102"/>
      <c r="Q37" s="102"/>
      <c r="R37" s="102"/>
      <c r="S37" s="102"/>
      <c r="T37" s="102"/>
      <c r="U37" s="102"/>
      <c r="V37" s="102"/>
      <c r="W37" s="102"/>
      <c r="X37" s="102"/>
      <c r="Y37" s="102"/>
      <c r="Z37" s="102"/>
      <c r="AA37" s="90"/>
    </row>
    <row r="38" spans="1:27" ht="18.75" thickBot="1" x14ac:dyDescent="0.4">
      <c r="A38" s="119"/>
      <c r="B38" s="115"/>
      <c r="C38" s="115"/>
      <c r="D38" s="115"/>
      <c r="E38" s="115"/>
      <c r="F38" s="115"/>
      <c r="G38" s="122" t="s">
        <v>165</v>
      </c>
      <c r="H38" s="140">
        <v>13.5</v>
      </c>
      <c r="I38" s="116" t="s">
        <v>92</v>
      </c>
      <c r="J38" s="102"/>
      <c r="K38" s="102"/>
      <c r="L38" s="102"/>
      <c r="M38" s="102"/>
      <c r="N38" s="102"/>
      <c r="O38" s="102"/>
      <c r="P38" s="102"/>
      <c r="Q38" s="102"/>
      <c r="R38" s="102"/>
      <c r="S38" s="102"/>
      <c r="T38" s="102"/>
      <c r="U38" s="102"/>
      <c r="V38" s="102"/>
      <c r="W38" s="102"/>
      <c r="X38" s="102"/>
      <c r="Y38" s="102"/>
      <c r="Z38" s="102"/>
      <c r="AA38" s="90"/>
    </row>
    <row r="39" spans="1:27" x14ac:dyDescent="0.25">
      <c r="A39" s="102"/>
      <c r="B39" s="102"/>
      <c r="C39" s="102"/>
      <c r="D39" s="102"/>
      <c r="E39" s="102"/>
      <c r="F39" s="102"/>
      <c r="G39" s="103"/>
      <c r="H39" s="102"/>
      <c r="I39" s="102"/>
      <c r="J39" s="102"/>
      <c r="K39" s="102"/>
      <c r="L39" s="102"/>
      <c r="M39" s="102"/>
      <c r="N39" s="102"/>
      <c r="O39" s="102"/>
      <c r="P39" s="102"/>
      <c r="Q39" s="102"/>
      <c r="R39" s="102"/>
      <c r="S39" s="102"/>
      <c r="T39" s="102"/>
      <c r="U39" s="102"/>
      <c r="V39" s="102"/>
      <c r="W39" s="102"/>
      <c r="X39" s="102"/>
      <c r="Y39" s="102"/>
      <c r="Z39" s="102"/>
      <c r="AA39" s="90"/>
    </row>
    <row r="40" spans="1:27" ht="15.75" thickBot="1" x14ac:dyDescent="0.3">
      <c r="A40" s="117" t="s">
        <v>548</v>
      </c>
      <c r="B40" s="102"/>
      <c r="C40" s="102"/>
      <c r="D40" s="102"/>
      <c r="E40" s="102"/>
      <c r="F40" s="102"/>
      <c r="G40" s="103"/>
      <c r="H40" s="102"/>
      <c r="I40" s="102"/>
      <c r="J40" s="102"/>
      <c r="K40" s="102"/>
      <c r="L40" s="102"/>
      <c r="M40" s="102"/>
      <c r="N40" s="102"/>
      <c r="O40" s="102"/>
      <c r="P40" s="102"/>
      <c r="Q40" s="102"/>
      <c r="R40" s="102"/>
      <c r="S40" s="102"/>
      <c r="T40" s="102"/>
      <c r="U40" s="102"/>
      <c r="V40" s="102"/>
      <c r="W40" s="102"/>
      <c r="X40" s="102"/>
      <c r="Y40" s="102"/>
      <c r="Z40" s="102"/>
      <c r="AA40" s="90"/>
    </row>
    <row r="41" spans="1:27" ht="18" x14ac:dyDescent="0.35">
      <c r="A41" s="105"/>
      <c r="B41" s="106"/>
      <c r="C41" s="106"/>
      <c r="D41" s="106"/>
      <c r="E41" s="106"/>
      <c r="F41" s="106"/>
      <c r="G41" s="124" t="s">
        <v>285</v>
      </c>
      <c r="H41" s="142">
        <f>Variable_Management!B117*(10^9)</f>
        <v>199.73333333333329</v>
      </c>
      <c r="I41" s="108" t="s">
        <v>183</v>
      </c>
      <c r="J41" s="102"/>
      <c r="K41" s="102"/>
      <c r="L41" s="102"/>
      <c r="M41" s="102"/>
      <c r="N41" s="102"/>
      <c r="O41" s="102"/>
      <c r="P41" s="102"/>
      <c r="Q41" s="102"/>
      <c r="R41" s="102"/>
      <c r="S41" s="102"/>
      <c r="T41" s="102"/>
      <c r="U41" s="102"/>
      <c r="V41" s="102"/>
      <c r="W41" s="102"/>
      <c r="X41" s="102"/>
      <c r="Y41" s="102"/>
      <c r="Z41" s="102"/>
      <c r="AA41" s="90"/>
    </row>
    <row r="42" spans="1:27" ht="18" x14ac:dyDescent="0.35">
      <c r="A42" s="109"/>
      <c r="B42" s="102"/>
      <c r="C42" s="102"/>
      <c r="D42" s="102"/>
      <c r="E42" s="102"/>
      <c r="F42" s="102"/>
      <c r="G42" s="103" t="s">
        <v>290</v>
      </c>
      <c r="H42" s="134">
        <v>10</v>
      </c>
      <c r="I42" s="111" t="s">
        <v>286</v>
      </c>
      <c r="J42" s="102"/>
      <c r="K42" s="102"/>
      <c r="L42" s="102"/>
      <c r="M42" s="102"/>
      <c r="N42" s="102"/>
      <c r="O42" s="102"/>
      <c r="P42" s="102"/>
      <c r="Q42" s="102"/>
      <c r="R42" s="102"/>
      <c r="S42" s="102"/>
      <c r="T42" s="102"/>
      <c r="U42" s="102"/>
      <c r="V42" s="102"/>
      <c r="W42" s="102"/>
      <c r="X42" s="102"/>
      <c r="Y42" s="102"/>
      <c r="Z42" s="102"/>
      <c r="AA42" s="90"/>
    </row>
    <row r="43" spans="1:27" ht="18.75" thickBot="1" x14ac:dyDescent="0.4">
      <c r="A43" s="119"/>
      <c r="B43" s="115"/>
      <c r="C43" s="115"/>
      <c r="D43" s="115"/>
      <c r="E43" s="115"/>
      <c r="F43" s="115"/>
      <c r="G43" s="122" t="s">
        <v>289</v>
      </c>
      <c r="H43" s="143">
        <f>Variable_Management!B119*(10^9)</f>
        <v>251.76470588235296</v>
      </c>
      <c r="I43" s="116" t="s">
        <v>183</v>
      </c>
      <c r="J43" s="102"/>
      <c r="K43" s="102"/>
      <c r="L43" s="102"/>
      <c r="M43" s="102"/>
      <c r="N43" s="102"/>
      <c r="O43" s="102"/>
      <c r="P43" s="102"/>
      <c r="Q43" s="102"/>
      <c r="R43" s="102"/>
      <c r="S43" s="102"/>
      <c r="T43" s="102"/>
      <c r="U43" s="102"/>
      <c r="V43" s="102"/>
      <c r="W43" s="102"/>
      <c r="X43" s="102"/>
      <c r="Y43" s="102"/>
      <c r="Z43" s="102"/>
      <c r="AA43" s="90"/>
    </row>
    <row r="44" spans="1:27" x14ac:dyDescent="0.25">
      <c r="A44" s="102"/>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90"/>
    </row>
    <row r="45" spans="1:27" ht="15.75" thickBot="1" x14ac:dyDescent="0.3">
      <c r="A45" s="117" t="s">
        <v>547</v>
      </c>
      <c r="B45" s="102"/>
      <c r="C45" s="102"/>
      <c r="D45" s="102"/>
      <c r="E45" s="102"/>
      <c r="F45" s="102"/>
      <c r="G45" s="103"/>
      <c r="H45" s="102"/>
      <c r="I45" s="102"/>
      <c r="J45" s="102"/>
      <c r="K45" s="102"/>
      <c r="L45" s="102"/>
      <c r="M45" s="102"/>
      <c r="N45" s="102"/>
      <c r="O45" s="102"/>
      <c r="P45" s="102"/>
      <c r="Q45" s="102"/>
      <c r="R45" s="102"/>
      <c r="S45" s="102"/>
      <c r="T45" s="102"/>
      <c r="U45" s="102"/>
      <c r="V45" s="102"/>
      <c r="W45" s="102"/>
      <c r="X45" s="102"/>
      <c r="Y45" s="102"/>
      <c r="Z45" s="102"/>
      <c r="AA45" s="90"/>
    </row>
    <row r="46" spans="1:27" ht="18" x14ac:dyDescent="0.35">
      <c r="A46" s="105"/>
      <c r="B46" s="106"/>
      <c r="C46" s="106"/>
      <c r="D46" s="106"/>
      <c r="E46" s="106"/>
      <c r="F46" s="106"/>
      <c r="G46" s="124" t="s">
        <v>542</v>
      </c>
      <c r="H46" s="133">
        <v>10.5</v>
      </c>
      <c r="I46" s="108" t="s">
        <v>10</v>
      </c>
      <c r="J46" s="102"/>
      <c r="K46" s="102"/>
      <c r="L46" s="102"/>
      <c r="M46" s="102"/>
      <c r="N46" s="102"/>
      <c r="O46" s="102"/>
      <c r="P46" s="102"/>
      <c r="Q46" s="102"/>
      <c r="R46" s="102"/>
      <c r="S46" s="102"/>
      <c r="T46" s="102"/>
      <c r="U46" s="102"/>
      <c r="V46" s="102"/>
      <c r="W46" s="102"/>
      <c r="X46" s="102"/>
      <c r="Y46" s="102"/>
      <c r="Z46" s="102"/>
      <c r="AA46" s="90"/>
    </row>
    <row r="47" spans="1:27" ht="18" x14ac:dyDescent="0.35">
      <c r="A47" s="109"/>
      <c r="B47" s="102"/>
      <c r="C47" s="102"/>
      <c r="D47" s="102"/>
      <c r="E47" s="102"/>
      <c r="F47" s="102"/>
      <c r="G47" s="103" t="s">
        <v>543</v>
      </c>
      <c r="H47" s="134">
        <v>9.5</v>
      </c>
      <c r="I47" s="111" t="s">
        <v>10</v>
      </c>
      <c r="J47" s="102"/>
      <c r="K47" s="102"/>
      <c r="L47" s="102"/>
      <c r="M47" s="102"/>
      <c r="N47" s="102"/>
      <c r="O47" s="102"/>
      <c r="P47" s="102"/>
      <c r="Q47" s="102"/>
      <c r="R47" s="102"/>
      <c r="S47" s="102"/>
      <c r="T47" s="102"/>
      <c r="U47" s="102"/>
      <c r="V47" s="102"/>
      <c r="W47" s="102"/>
      <c r="X47" s="102"/>
      <c r="Y47" s="102"/>
      <c r="Z47" s="102"/>
      <c r="AA47" s="90"/>
    </row>
    <row r="48" spans="1:27" ht="18" x14ac:dyDescent="0.35">
      <c r="A48" s="109"/>
      <c r="B48" s="102"/>
      <c r="C48" s="102"/>
      <c r="D48" s="102"/>
      <c r="E48" s="102"/>
      <c r="F48" s="102"/>
      <c r="G48" s="103" t="s">
        <v>544</v>
      </c>
      <c r="H48" s="141">
        <f>Ruvlo_top_calc/1000</f>
        <v>76.136363636363498</v>
      </c>
      <c r="I48" s="121" t="s">
        <v>181</v>
      </c>
      <c r="J48" s="102"/>
      <c r="K48" s="102"/>
      <c r="L48" s="102"/>
      <c r="M48" s="102"/>
      <c r="N48" s="102"/>
      <c r="O48" s="102"/>
      <c r="P48" s="102"/>
      <c r="Q48" s="102"/>
      <c r="R48" s="102"/>
      <c r="S48" s="102"/>
      <c r="T48" s="102"/>
      <c r="U48" s="102"/>
      <c r="V48" s="102"/>
      <c r="W48" s="102"/>
      <c r="X48" s="102"/>
      <c r="Y48" s="102"/>
      <c r="Z48" s="102"/>
      <c r="AA48" s="90"/>
    </row>
    <row r="49" spans="1:27" ht="18" x14ac:dyDescent="0.35">
      <c r="A49" s="109"/>
      <c r="B49" s="102"/>
      <c r="C49" s="102"/>
      <c r="D49" s="102"/>
      <c r="E49" s="102"/>
      <c r="F49" s="102"/>
      <c r="G49" s="103" t="s">
        <v>545</v>
      </c>
      <c r="H49" s="134">
        <v>76.8</v>
      </c>
      <c r="I49" s="121" t="s">
        <v>181</v>
      </c>
      <c r="J49" s="102"/>
      <c r="K49" s="102"/>
      <c r="L49" s="102"/>
      <c r="M49" s="102"/>
      <c r="N49" s="102"/>
      <c r="O49" s="102"/>
      <c r="P49" s="102"/>
      <c r="Q49" s="102"/>
      <c r="R49" s="102"/>
      <c r="S49" s="102"/>
      <c r="T49" s="102"/>
      <c r="U49" s="102"/>
      <c r="V49" s="102"/>
      <c r="W49" s="102"/>
      <c r="X49" s="102"/>
      <c r="Y49" s="102"/>
      <c r="Z49" s="102"/>
      <c r="AA49" s="90"/>
    </row>
    <row r="50" spans="1:27" ht="18.75" thickBot="1" x14ac:dyDescent="0.4">
      <c r="A50" s="119"/>
      <c r="B50" s="115"/>
      <c r="C50" s="115"/>
      <c r="D50" s="115"/>
      <c r="E50" s="115"/>
      <c r="F50" s="115"/>
      <c r="G50" s="122" t="s">
        <v>546</v>
      </c>
      <c r="H50" s="167">
        <f>Ruvlo_bottom_calc/1000</f>
        <v>8.9872340425531902</v>
      </c>
      <c r="I50" s="123" t="s">
        <v>181</v>
      </c>
      <c r="J50" s="102"/>
      <c r="K50" s="102"/>
      <c r="L50" s="102"/>
      <c r="M50" s="102"/>
      <c r="N50" s="102"/>
      <c r="O50" s="102"/>
      <c r="P50" s="102"/>
      <c r="Q50" s="102"/>
      <c r="R50" s="102"/>
      <c r="S50" s="102"/>
      <c r="T50" s="102"/>
      <c r="U50" s="102"/>
      <c r="V50" s="102"/>
      <c r="W50" s="102"/>
      <c r="X50" s="102"/>
      <c r="Y50" s="102"/>
      <c r="Z50" s="102"/>
      <c r="AA50" s="90"/>
    </row>
    <row r="51" spans="1:27" x14ac:dyDescent="0.25">
      <c r="A51" s="102"/>
      <c r="B51" s="102"/>
      <c r="C51" s="102"/>
      <c r="D51" s="102"/>
      <c r="E51" s="102"/>
      <c r="F51" s="102"/>
      <c r="G51" s="103"/>
      <c r="H51" s="102"/>
      <c r="I51" s="102"/>
      <c r="J51" s="102"/>
      <c r="K51" s="102"/>
      <c r="L51" s="102"/>
      <c r="M51" s="102"/>
      <c r="N51" s="102"/>
      <c r="O51" s="102"/>
      <c r="P51" s="102"/>
      <c r="Q51" s="102"/>
      <c r="R51" s="102"/>
      <c r="S51" s="102"/>
      <c r="T51" s="102"/>
      <c r="U51" s="102"/>
      <c r="V51" s="102"/>
      <c r="W51" s="102"/>
      <c r="X51" s="102"/>
      <c r="Y51" s="102"/>
      <c r="Z51" s="102"/>
      <c r="AA51" s="90"/>
    </row>
    <row r="52" spans="1:27" x14ac:dyDescent="0.25">
      <c r="A52" s="102"/>
      <c r="B52" s="102"/>
      <c r="C52" s="102"/>
      <c r="D52" s="102"/>
      <c r="E52" s="102"/>
      <c r="F52" s="102"/>
      <c r="G52" s="103"/>
      <c r="H52" s="102"/>
      <c r="I52" s="102"/>
      <c r="J52" s="102"/>
      <c r="K52" s="102"/>
      <c r="L52" s="102"/>
      <c r="M52" s="102"/>
      <c r="N52" s="102"/>
      <c r="O52" s="102"/>
      <c r="P52" s="102"/>
      <c r="Q52" s="102"/>
      <c r="R52" s="102"/>
      <c r="S52" s="102"/>
      <c r="T52" s="102"/>
      <c r="U52" s="102"/>
      <c r="V52" s="102"/>
      <c r="W52" s="102"/>
      <c r="X52" s="102"/>
      <c r="Y52" s="102"/>
      <c r="Z52" s="102"/>
      <c r="AA52" s="90"/>
    </row>
    <row r="53" spans="1:27" ht="15.75" thickBot="1" x14ac:dyDescent="0.3">
      <c r="A53" s="117" t="s">
        <v>313</v>
      </c>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90"/>
    </row>
    <row r="54" spans="1:27" ht="18" x14ac:dyDescent="0.35">
      <c r="A54" s="125"/>
      <c r="B54" s="106"/>
      <c r="C54" s="106"/>
      <c r="D54" s="106"/>
      <c r="E54" s="106"/>
      <c r="F54" s="106"/>
      <c r="G54" s="126" t="s">
        <v>416</v>
      </c>
      <c r="H54" s="144" t="str">
        <f>VIN_nom&amp;"V"</f>
        <v>11V</v>
      </c>
      <c r="I54" s="108"/>
      <c r="J54" s="102"/>
      <c r="K54" s="102"/>
      <c r="L54" s="102"/>
      <c r="M54" s="102"/>
      <c r="N54" s="102"/>
      <c r="O54" s="102"/>
      <c r="P54" s="102"/>
      <c r="Q54" s="102"/>
      <c r="R54" s="102"/>
      <c r="S54" s="102"/>
      <c r="T54" s="102"/>
      <c r="U54" s="102"/>
      <c r="V54" s="102"/>
      <c r="W54" s="102"/>
      <c r="X54" s="102"/>
      <c r="Y54" s="102"/>
      <c r="Z54" s="102"/>
      <c r="AA54" s="90"/>
    </row>
    <row r="55" spans="1:27" x14ac:dyDescent="0.25">
      <c r="A55" s="109"/>
      <c r="B55" s="102"/>
      <c r="C55" s="102"/>
      <c r="D55" s="102"/>
      <c r="E55" s="102"/>
      <c r="F55" s="102"/>
      <c r="G55" s="128" t="s">
        <v>564</v>
      </c>
      <c r="H55" s="145"/>
      <c r="I55" s="111"/>
      <c r="J55" s="102"/>
      <c r="K55" s="102"/>
      <c r="L55" s="102"/>
      <c r="M55" s="102"/>
      <c r="N55" s="102"/>
      <c r="O55" s="102"/>
      <c r="P55" s="102"/>
      <c r="Q55" s="102"/>
      <c r="R55" s="102"/>
      <c r="S55" s="102"/>
      <c r="T55" s="102"/>
      <c r="U55" s="102"/>
      <c r="V55" s="102"/>
      <c r="W55" s="102"/>
      <c r="X55" s="102"/>
      <c r="Y55" s="102"/>
      <c r="Z55" s="102"/>
      <c r="AA55" s="90"/>
    </row>
    <row r="56" spans="1:27" x14ac:dyDescent="0.25">
      <c r="A56" s="127"/>
      <c r="B56" s="102"/>
      <c r="C56" s="102"/>
      <c r="D56" s="102"/>
      <c r="E56" s="102"/>
      <c r="F56" s="102"/>
      <c r="G56" s="103" t="s">
        <v>519</v>
      </c>
      <c r="H56" s="147" t="str">
        <f>CHOOSE(VOUT_range,"Low","High")</f>
        <v>High</v>
      </c>
      <c r="I56" s="111"/>
      <c r="J56" s="102"/>
      <c r="K56" s="102"/>
      <c r="L56" s="102"/>
      <c r="M56" s="102"/>
      <c r="N56" s="102"/>
      <c r="O56" s="102"/>
      <c r="P56" s="102"/>
      <c r="Q56" s="102"/>
      <c r="R56" s="102"/>
      <c r="S56" s="102"/>
      <c r="T56" s="102"/>
      <c r="U56" s="102"/>
      <c r="V56" s="102"/>
      <c r="W56" s="102"/>
      <c r="X56" s="102"/>
      <c r="Y56" s="102"/>
      <c r="Z56" s="102"/>
      <c r="AA56" s="90"/>
    </row>
    <row r="57" spans="1:27" ht="18" x14ac:dyDescent="0.35">
      <c r="A57" s="127"/>
      <c r="B57" s="102"/>
      <c r="C57" s="102"/>
      <c r="D57" s="102"/>
      <c r="E57" s="102"/>
      <c r="F57" s="102"/>
      <c r="G57" s="103" t="s">
        <v>566</v>
      </c>
      <c r="H57" s="146">
        <f>VTRK</f>
        <v>0.89166666666666672</v>
      </c>
      <c r="I57" s="121" t="s">
        <v>10</v>
      </c>
      <c r="J57" s="102"/>
      <c r="K57" s="102"/>
      <c r="L57" s="102"/>
      <c r="M57" s="102"/>
      <c r="N57" s="102"/>
      <c r="O57" s="102"/>
      <c r="P57" s="102"/>
      <c r="Q57" s="102"/>
      <c r="R57" s="102"/>
      <c r="S57" s="102"/>
      <c r="T57" s="102"/>
      <c r="U57" s="102"/>
      <c r="V57" s="102"/>
      <c r="W57" s="102"/>
      <c r="X57" s="102"/>
      <c r="Y57" s="102"/>
      <c r="Z57" s="102"/>
      <c r="AA57" s="90"/>
    </row>
    <row r="58" spans="1:27" ht="18" x14ac:dyDescent="0.35">
      <c r="A58" s="127"/>
      <c r="B58" s="102"/>
      <c r="C58" s="102"/>
      <c r="D58" s="102"/>
      <c r="E58" s="102"/>
      <c r="F58" s="102"/>
      <c r="G58" s="103" t="s">
        <v>599</v>
      </c>
      <c r="H58" s="163">
        <f>Variable_Management!B144/1000</f>
        <v>2.1666666666666643</v>
      </c>
      <c r="I58" s="121" t="s">
        <v>181</v>
      </c>
      <c r="J58" s="102"/>
      <c r="K58" s="102"/>
      <c r="L58" s="102"/>
      <c r="M58" s="102"/>
      <c r="N58" s="102"/>
      <c r="O58" s="102"/>
      <c r="P58" s="102"/>
      <c r="Q58" s="102"/>
      <c r="R58" s="102"/>
      <c r="S58" s="102"/>
      <c r="T58" s="102"/>
      <c r="U58" s="102"/>
      <c r="V58" s="102"/>
      <c r="W58" s="102"/>
      <c r="X58" s="102"/>
      <c r="Y58" s="102"/>
      <c r="Z58" s="102"/>
      <c r="AA58" s="90"/>
    </row>
    <row r="59" spans="1:27" ht="18" x14ac:dyDescent="0.35">
      <c r="A59" s="127"/>
      <c r="B59" s="102"/>
      <c r="C59" s="102"/>
      <c r="D59" s="102"/>
      <c r="E59" s="102"/>
      <c r="F59" s="102"/>
      <c r="G59" s="103" t="s">
        <v>600</v>
      </c>
      <c r="H59" s="163">
        <f>Variable_Management!B143/1000</f>
        <v>3.7916666666666643</v>
      </c>
      <c r="I59" s="121" t="s">
        <v>181</v>
      </c>
      <c r="J59" s="102"/>
      <c r="K59" s="102"/>
      <c r="L59" s="102"/>
      <c r="M59" s="102"/>
      <c r="N59" s="102"/>
      <c r="O59" s="102"/>
      <c r="P59" s="102"/>
      <c r="Q59" s="102"/>
      <c r="R59" s="102"/>
      <c r="S59" s="102"/>
      <c r="T59" s="102"/>
      <c r="U59" s="102"/>
      <c r="V59" s="102"/>
      <c r="W59" s="102"/>
      <c r="X59" s="102"/>
      <c r="Y59" s="102"/>
      <c r="Z59" s="102"/>
      <c r="AA59" s="90"/>
    </row>
    <row r="60" spans="1:27" ht="18" x14ac:dyDescent="0.35">
      <c r="A60" s="127"/>
      <c r="B60" s="102"/>
      <c r="C60" s="102"/>
      <c r="D60" s="102"/>
      <c r="E60" s="102"/>
      <c r="F60" s="102"/>
      <c r="G60" s="103" t="s">
        <v>592</v>
      </c>
      <c r="H60" s="134">
        <v>3.74</v>
      </c>
      <c r="I60" s="121" t="s">
        <v>181</v>
      </c>
      <c r="J60" s="102"/>
      <c r="K60" s="102"/>
      <c r="L60" s="102"/>
      <c r="M60" s="102"/>
      <c r="N60" s="102"/>
      <c r="O60" s="102"/>
      <c r="P60" s="102"/>
      <c r="Q60" s="102"/>
      <c r="R60" s="102"/>
      <c r="S60" s="102"/>
      <c r="T60" s="102"/>
      <c r="U60" s="102"/>
      <c r="V60" s="102"/>
      <c r="W60" s="102"/>
      <c r="X60" s="102"/>
      <c r="Y60" s="102"/>
      <c r="Z60" s="102"/>
      <c r="AA60" s="90"/>
    </row>
    <row r="61" spans="1:27" ht="18" x14ac:dyDescent="0.35">
      <c r="A61" s="109"/>
      <c r="B61" s="102"/>
      <c r="C61" s="102"/>
      <c r="D61" s="102"/>
      <c r="E61" s="102"/>
      <c r="F61" s="102"/>
      <c r="G61" s="103" t="s">
        <v>565</v>
      </c>
      <c r="H61" s="185">
        <f>RFBB_calc/1000</f>
        <v>30.783076923076948</v>
      </c>
      <c r="I61" s="121" t="s">
        <v>181</v>
      </c>
      <c r="J61" s="102"/>
      <c r="K61" s="102"/>
      <c r="L61" s="102"/>
      <c r="M61" s="102"/>
      <c r="N61" s="102"/>
      <c r="O61" s="102"/>
      <c r="P61" s="102"/>
      <c r="Q61" s="102"/>
      <c r="R61" s="102"/>
      <c r="S61" s="102"/>
      <c r="T61" s="102"/>
      <c r="U61" s="102"/>
      <c r="V61" s="102"/>
      <c r="W61" s="102"/>
      <c r="X61" s="102"/>
      <c r="Y61" s="102"/>
      <c r="Z61" s="102"/>
      <c r="AA61" s="90"/>
    </row>
    <row r="62" spans="1:27" ht="18" x14ac:dyDescent="0.35">
      <c r="A62" s="109"/>
      <c r="B62" s="102"/>
      <c r="C62" s="102"/>
      <c r="D62" s="102"/>
      <c r="E62" s="102"/>
      <c r="F62" s="102"/>
      <c r="G62" s="103" t="s">
        <v>596</v>
      </c>
      <c r="H62" s="134">
        <v>30.9</v>
      </c>
      <c r="I62" s="121" t="s">
        <v>181</v>
      </c>
      <c r="J62" s="102"/>
      <c r="K62" s="102"/>
      <c r="L62" s="102"/>
      <c r="M62" s="102"/>
      <c r="N62" s="102"/>
      <c r="O62" s="102"/>
      <c r="P62" s="102"/>
      <c r="Q62" s="102"/>
      <c r="R62" s="102"/>
      <c r="S62" s="102"/>
      <c r="T62" s="102"/>
      <c r="U62" s="102"/>
      <c r="V62" s="102"/>
      <c r="W62" s="102"/>
      <c r="X62" s="102"/>
      <c r="Y62" s="102"/>
      <c r="Z62" s="102"/>
      <c r="AA62" s="90"/>
    </row>
    <row r="63" spans="1:27" x14ac:dyDescent="0.25">
      <c r="A63" s="109"/>
      <c r="B63" s="102"/>
      <c r="C63" s="102"/>
      <c r="D63" s="102"/>
      <c r="E63" s="102"/>
      <c r="F63" s="102"/>
      <c r="G63" s="103"/>
      <c r="H63" s="136"/>
      <c r="I63" s="121"/>
      <c r="J63" s="102"/>
      <c r="K63" s="102"/>
      <c r="L63" s="102"/>
      <c r="M63" s="102"/>
      <c r="N63" s="102"/>
      <c r="O63" s="102"/>
      <c r="P63" s="102"/>
      <c r="Q63" s="102"/>
      <c r="R63" s="102"/>
      <c r="S63" s="102"/>
      <c r="T63" s="102"/>
      <c r="U63" s="102"/>
      <c r="V63" s="102"/>
      <c r="W63" s="102"/>
      <c r="X63" s="102"/>
      <c r="Y63" s="102"/>
      <c r="Z63" s="102"/>
      <c r="AA63" s="90"/>
    </row>
    <row r="64" spans="1:27" ht="18" x14ac:dyDescent="0.35">
      <c r="A64" s="109"/>
      <c r="B64" s="102"/>
      <c r="C64" s="102"/>
      <c r="D64" s="102"/>
      <c r="E64" s="102"/>
      <c r="F64" s="102"/>
      <c r="G64" s="103" t="s">
        <v>598</v>
      </c>
      <c r="H64" s="163">
        <f>fcross_est/1000</f>
        <v>7.9990646372250609</v>
      </c>
      <c r="I64" s="111" t="s">
        <v>12</v>
      </c>
      <c r="J64" s="102"/>
      <c r="K64" s="102"/>
      <c r="L64" s="102"/>
      <c r="M64" s="102"/>
      <c r="N64" s="102"/>
      <c r="O64" s="102"/>
      <c r="P64" s="102"/>
      <c r="Q64" s="102"/>
      <c r="R64" s="102"/>
      <c r="S64" s="102"/>
      <c r="T64" s="102"/>
      <c r="U64" s="102"/>
      <c r="V64" s="102"/>
      <c r="W64" s="102"/>
      <c r="X64" s="102"/>
      <c r="Y64" s="102"/>
      <c r="Z64" s="102"/>
      <c r="AA64" s="90"/>
    </row>
    <row r="65" spans="1:27" ht="18" x14ac:dyDescent="0.35">
      <c r="A65" s="109"/>
      <c r="B65" s="102"/>
      <c r="C65" s="102"/>
      <c r="D65" s="102"/>
      <c r="E65" s="102"/>
      <c r="F65" s="102"/>
      <c r="G65" s="103" t="s">
        <v>597</v>
      </c>
      <c r="H65" s="134">
        <v>10</v>
      </c>
      <c r="I65" s="111" t="s">
        <v>12</v>
      </c>
      <c r="J65" s="102"/>
      <c r="K65" s="102"/>
      <c r="L65" s="102"/>
      <c r="M65" s="102"/>
      <c r="N65" s="102"/>
      <c r="O65" s="102"/>
      <c r="P65" s="102"/>
      <c r="Q65" s="102"/>
      <c r="R65" s="102"/>
      <c r="S65" s="102"/>
      <c r="T65" s="102"/>
      <c r="U65" s="102"/>
      <c r="V65" s="102"/>
      <c r="W65" s="102"/>
      <c r="X65" s="102"/>
      <c r="Y65" s="102"/>
      <c r="Z65" s="102"/>
      <c r="AA65" s="90"/>
    </row>
    <row r="66" spans="1:27" x14ac:dyDescent="0.25">
      <c r="A66" s="109"/>
      <c r="B66" s="102"/>
      <c r="C66" s="102"/>
      <c r="D66" s="102"/>
      <c r="E66" s="102"/>
      <c r="F66" s="102"/>
      <c r="G66" s="103"/>
      <c r="H66" s="136"/>
      <c r="I66" s="111"/>
      <c r="J66" s="102"/>
      <c r="K66" s="102"/>
      <c r="L66" s="102"/>
      <c r="M66" s="102"/>
      <c r="N66" s="102"/>
      <c r="O66" s="102"/>
      <c r="P66" s="102"/>
      <c r="Q66" s="102"/>
      <c r="R66" s="102"/>
      <c r="S66" s="102"/>
      <c r="T66" s="102"/>
      <c r="U66" s="102"/>
      <c r="V66" s="102"/>
      <c r="W66" s="102"/>
      <c r="X66" s="102"/>
      <c r="Y66" s="102"/>
      <c r="Z66" s="102"/>
      <c r="AA66" s="90"/>
    </row>
    <row r="67" spans="1:27" ht="15.75" thickBot="1" x14ac:dyDescent="0.3">
      <c r="A67" s="109"/>
      <c r="B67" s="102"/>
      <c r="C67" s="102"/>
      <c r="D67" s="102"/>
      <c r="E67" s="102"/>
      <c r="F67" s="129" t="s">
        <v>266</v>
      </c>
      <c r="G67" s="129"/>
      <c r="H67" s="147" t="s">
        <v>267</v>
      </c>
      <c r="I67" s="130"/>
      <c r="J67" s="102"/>
      <c r="K67" s="102"/>
      <c r="L67" s="102"/>
      <c r="M67" s="102"/>
      <c r="N67" s="102"/>
      <c r="O67" s="102"/>
      <c r="P67" s="102"/>
      <c r="Q67" s="102"/>
      <c r="R67" s="102"/>
      <c r="S67" s="102"/>
      <c r="T67" s="102"/>
      <c r="U67" s="102"/>
      <c r="V67" s="102"/>
      <c r="W67" s="102"/>
      <c r="X67" s="102"/>
      <c r="Y67" s="102"/>
      <c r="Z67" s="102"/>
      <c r="AA67" s="90"/>
    </row>
    <row r="68" spans="1:27" ht="18.75" thickBot="1" x14ac:dyDescent="0.4">
      <c r="A68" s="109"/>
      <c r="B68" s="102"/>
      <c r="C68" s="102"/>
      <c r="D68" s="102"/>
      <c r="E68" s="103" t="s">
        <v>265</v>
      </c>
      <c r="F68" s="186">
        <f>RCOMP_Calc/1000</f>
        <v>217.35914099673678</v>
      </c>
      <c r="G68" s="169" t="s">
        <v>181</v>
      </c>
      <c r="H68" s="149">
        <v>220</v>
      </c>
      <c r="I68" s="121" t="s">
        <v>181</v>
      </c>
      <c r="J68" s="102"/>
      <c r="K68" s="102"/>
      <c r="L68" s="102"/>
      <c r="M68" s="102"/>
      <c r="N68" s="102"/>
      <c r="O68" s="102"/>
      <c r="P68" s="102"/>
      <c r="Q68" s="102"/>
      <c r="R68" s="102"/>
      <c r="S68" s="102"/>
      <c r="T68" s="102"/>
      <c r="U68" s="102"/>
      <c r="V68" s="102"/>
      <c r="W68" s="102"/>
      <c r="X68" s="102"/>
      <c r="Y68" s="102"/>
      <c r="Z68" s="102"/>
      <c r="AA68" s="90"/>
    </row>
    <row r="69" spans="1:27" ht="18.75" thickBot="1" x14ac:dyDescent="0.4">
      <c r="A69" s="109"/>
      <c r="B69" s="102"/>
      <c r="C69" s="102"/>
      <c r="D69" s="102"/>
      <c r="E69" s="103" t="s">
        <v>380</v>
      </c>
      <c r="F69" s="186">
        <f>CCOMP_Calc*(10^9)</f>
        <v>1.2262792876638784</v>
      </c>
      <c r="G69" s="169" t="s">
        <v>183</v>
      </c>
      <c r="H69" s="149">
        <v>1.5</v>
      </c>
      <c r="I69" s="111" t="s">
        <v>183</v>
      </c>
      <c r="J69" s="102"/>
      <c r="K69" s="102"/>
      <c r="L69" s="102"/>
      <c r="M69" s="102"/>
      <c r="N69" s="102"/>
      <c r="O69" s="102"/>
      <c r="P69" s="102"/>
      <c r="Q69" s="102"/>
      <c r="R69" s="102"/>
      <c r="S69" s="102"/>
      <c r="T69" s="102"/>
      <c r="U69" s="102"/>
      <c r="V69" s="102"/>
      <c r="W69" s="102"/>
      <c r="X69" s="102"/>
      <c r="Y69" s="102"/>
      <c r="Z69" s="102"/>
      <c r="AA69" s="90"/>
    </row>
    <row r="70" spans="1:27" ht="18.75" thickBot="1" x14ac:dyDescent="0.4">
      <c r="A70" s="119"/>
      <c r="B70" s="115"/>
      <c r="C70" s="115"/>
      <c r="D70" s="115"/>
      <c r="E70" s="122" t="s">
        <v>381</v>
      </c>
      <c r="F70" s="148">
        <f>CHF_calc*(10^12)</f>
        <v>5.199843572065018</v>
      </c>
      <c r="G70" s="170" t="s">
        <v>182</v>
      </c>
      <c r="H70" s="140">
        <v>33</v>
      </c>
      <c r="I70" s="116" t="s">
        <v>182</v>
      </c>
      <c r="J70" s="102"/>
      <c r="K70" s="102"/>
      <c r="L70" s="102"/>
      <c r="M70" s="102"/>
      <c r="N70" s="102"/>
      <c r="O70" s="102"/>
      <c r="P70" s="102"/>
      <c r="Q70" s="102"/>
      <c r="R70" s="102"/>
      <c r="S70" s="102"/>
      <c r="T70" s="102"/>
      <c r="U70" s="102"/>
      <c r="V70" s="102"/>
      <c r="W70" s="102"/>
      <c r="X70" s="102"/>
      <c r="Y70" s="102"/>
      <c r="Z70" s="102"/>
      <c r="AA70" s="90"/>
    </row>
    <row r="71" spans="1:27" x14ac:dyDescent="0.25">
      <c r="A71" s="92"/>
      <c r="B71" s="92"/>
      <c r="C71" s="92"/>
      <c r="D71" s="92"/>
      <c r="E71" s="93"/>
      <c r="F71" s="184"/>
      <c r="G71" s="93"/>
      <c r="H71" s="92"/>
      <c r="I71" s="92"/>
      <c r="J71" s="92"/>
      <c r="K71" s="92"/>
      <c r="L71" s="92"/>
      <c r="M71" s="92"/>
      <c r="N71" s="92"/>
      <c r="O71" s="92"/>
      <c r="P71" s="92"/>
      <c r="Q71" s="92"/>
      <c r="R71" s="92"/>
      <c r="S71" s="92"/>
      <c r="T71" s="92"/>
      <c r="U71" s="92"/>
      <c r="V71" s="92"/>
      <c r="W71" s="92"/>
      <c r="X71" s="92"/>
      <c r="Y71" s="92"/>
      <c r="Z71" s="92"/>
      <c r="AA71" s="90"/>
    </row>
    <row r="72" spans="1:27" s="159" customFormat="1" ht="23.25" x14ac:dyDescent="0.35">
      <c r="A72" s="171" t="s">
        <v>264</v>
      </c>
      <c r="B72" s="172"/>
      <c r="C72" s="172"/>
      <c r="D72" s="172"/>
      <c r="E72" s="172"/>
      <c r="F72" s="172"/>
      <c r="G72" s="173"/>
      <c r="H72" s="172"/>
      <c r="I72" s="172"/>
      <c r="J72" s="172"/>
      <c r="K72" s="172"/>
      <c r="L72" s="172"/>
      <c r="M72" s="172"/>
      <c r="N72" s="172"/>
      <c r="O72" s="172"/>
      <c r="P72" s="172"/>
      <c r="Q72" s="172"/>
      <c r="R72" s="172"/>
      <c r="S72" s="172"/>
      <c r="T72" s="172"/>
      <c r="U72" s="172"/>
      <c r="V72" s="172"/>
      <c r="W72" s="172"/>
      <c r="X72" s="174"/>
      <c r="Y72" s="174"/>
      <c r="Z72" s="174"/>
      <c r="AA72" s="189"/>
    </row>
    <row r="73" spans="1:27" s="159" customFormat="1" x14ac:dyDescent="0.25">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4"/>
      <c r="Y73" s="174"/>
      <c r="Z73" s="174"/>
      <c r="AA73" s="189"/>
    </row>
    <row r="74" spans="1:27" s="159" customFormat="1" ht="18.75" thickBot="1" x14ac:dyDescent="0.4">
      <c r="A74" s="175" t="s">
        <v>594</v>
      </c>
      <c r="B74" s="172"/>
      <c r="C74" s="172"/>
      <c r="D74" s="172"/>
      <c r="E74" s="172"/>
      <c r="F74" s="172"/>
      <c r="G74" s="172"/>
      <c r="H74" s="172"/>
      <c r="I74" s="172"/>
      <c r="J74" s="172"/>
      <c r="K74" s="172"/>
      <c r="L74" s="172"/>
      <c r="M74" s="172"/>
      <c r="N74" s="172"/>
      <c r="O74" s="172"/>
      <c r="P74" s="172"/>
      <c r="Q74" s="172"/>
      <c r="R74" s="172"/>
      <c r="S74" s="172"/>
      <c r="T74" s="172"/>
      <c r="U74" s="172"/>
      <c r="V74" s="172"/>
      <c r="W74" s="172"/>
      <c r="X74" s="174"/>
      <c r="Y74" s="174"/>
      <c r="Z74" s="174"/>
      <c r="AA74" s="189"/>
    </row>
    <row r="75" spans="1:27" s="159" customFormat="1" ht="15.75" x14ac:dyDescent="0.3">
      <c r="A75" s="190"/>
      <c r="B75" s="191"/>
      <c r="C75" s="191"/>
      <c r="D75" s="191"/>
      <c r="E75" s="191"/>
      <c r="F75" s="191"/>
      <c r="G75" s="192" t="s">
        <v>510</v>
      </c>
      <c r="H75" s="207">
        <v>4</v>
      </c>
      <c r="I75" s="193" t="s">
        <v>334</v>
      </c>
      <c r="J75" s="172"/>
      <c r="K75" s="172"/>
      <c r="L75" s="172"/>
      <c r="M75" s="172"/>
      <c r="N75" s="172"/>
      <c r="O75" s="172"/>
      <c r="P75" s="172"/>
      <c r="Q75" s="172"/>
      <c r="R75" s="172"/>
      <c r="S75" s="172"/>
      <c r="T75" s="172"/>
      <c r="U75" s="172"/>
      <c r="V75" s="172"/>
      <c r="W75" s="172"/>
      <c r="X75" s="174"/>
      <c r="Y75" s="174"/>
      <c r="Z75" s="174"/>
      <c r="AA75" s="189"/>
    </row>
    <row r="76" spans="1:27" s="159" customFormat="1" ht="15.75" x14ac:dyDescent="0.3">
      <c r="A76" s="194"/>
      <c r="B76" s="172"/>
      <c r="C76" s="172"/>
      <c r="D76" s="172"/>
      <c r="E76" s="172"/>
      <c r="F76" s="172"/>
      <c r="G76" s="176" t="s">
        <v>511</v>
      </c>
      <c r="H76" s="208">
        <v>12</v>
      </c>
      <c r="I76" s="195" t="s">
        <v>335</v>
      </c>
      <c r="J76" s="172"/>
      <c r="K76" s="172"/>
      <c r="L76" s="172"/>
      <c r="M76" s="172"/>
      <c r="N76" s="172"/>
      <c r="O76" s="172"/>
      <c r="P76" s="172"/>
      <c r="Q76" s="172"/>
      <c r="R76" s="172"/>
      <c r="S76" s="172"/>
      <c r="T76" s="172"/>
      <c r="U76" s="172"/>
      <c r="V76" s="172"/>
      <c r="W76" s="172"/>
      <c r="X76" s="174"/>
      <c r="Y76" s="174"/>
      <c r="Z76" s="174"/>
      <c r="AA76" s="189"/>
    </row>
    <row r="77" spans="1:27" s="159" customFormat="1" ht="15.75" x14ac:dyDescent="0.3">
      <c r="A77" s="194"/>
      <c r="B77" s="172"/>
      <c r="C77" s="172"/>
      <c r="D77" s="172"/>
      <c r="E77" s="172"/>
      <c r="F77" s="172"/>
      <c r="G77" s="176" t="s">
        <v>512</v>
      </c>
      <c r="H77" s="208">
        <v>1.7</v>
      </c>
      <c r="I77" s="195" t="s">
        <v>335</v>
      </c>
      <c r="J77" s="172"/>
      <c r="K77" s="172"/>
      <c r="L77" s="172"/>
      <c r="M77" s="172"/>
      <c r="N77" s="172"/>
      <c r="O77" s="172"/>
      <c r="P77" s="172"/>
      <c r="Q77" s="172"/>
      <c r="R77" s="172"/>
      <c r="S77" s="172"/>
      <c r="T77" s="172"/>
      <c r="U77" s="172"/>
      <c r="V77" s="172"/>
      <c r="W77" s="172"/>
      <c r="X77" s="174"/>
      <c r="Y77" s="174"/>
      <c r="Z77" s="174"/>
      <c r="AA77" s="189"/>
    </row>
    <row r="78" spans="1:27" s="159" customFormat="1" ht="15.75" x14ac:dyDescent="0.3">
      <c r="A78" s="196"/>
      <c r="B78" s="172"/>
      <c r="C78" s="172"/>
      <c r="D78" s="172"/>
      <c r="E78" s="172"/>
      <c r="F78" s="172"/>
      <c r="G78" s="176" t="s">
        <v>513</v>
      </c>
      <c r="H78" s="208">
        <v>1.9</v>
      </c>
      <c r="I78" s="195" t="s">
        <v>335</v>
      </c>
      <c r="J78" s="172"/>
      <c r="K78" s="172"/>
      <c r="L78" s="172"/>
      <c r="M78" s="172"/>
      <c r="N78" s="172"/>
      <c r="O78" s="172"/>
      <c r="P78" s="172"/>
      <c r="Q78" s="172"/>
      <c r="R78" s="172"/>
      <c r="S78" s="172"/>
      <c r="T78" s="172"/>
      <c r="U78" s="172"/>
      <c r="V78" s="172"/>
      <c r="W78" s="172"/>
      <c r="X78" s="174"/>
      <c r="Y78" s="174"/>
      <c r="Z78" s="174"/>
      <c r="AA78" s="189"/>
    </row>
    <row r="79" spans="1:27" s="159" customFormat="1" ht="15.75" x14ac:dyDescent="0.3">
      <c r="A79" s="196"/>
      <c r="B79" s="172"/>
      <c r="C79" s="172"/>
      <c r="D79" s="172"/>
      <c r="E79" s="172"/>
      <c r="F79" s="172"/>
      <c r="G79" s="176" t="s">
        <v>514</v>
      </c>
      <c r="H79" s="208">
        <v>2.2000000000000002</v>
      </c>
      <c r="I79" s="195" t="s">
        <v>336</v>
      </c>
      <c r="J79" s="172"/>
      <c r="K79" s="172"/>
      <c r="L79" s="172"/>
      <c r="M79" s="172"/>
      <c r="N79" s="172"/>
      <c r="O79" s="172"/>
      <c r="P79" s="172"/>
      <c r="Q79" s="172"/>
      <c r="R79" s="172"/>
      <c r="S79" s="172"/>
      <c r="T79" s="172"/>
      <c r="U79" s="172"/>
      <c r="V79" s="172"/>
      <c r="W79" s="172"/>
      <c r="X79" s="174"/>
      <c r="Y79" s="174"/>
      <c r="Z79" s="174"/>
      <c r="AA79" s="189"/>
    </row>
    <row r="80" spans="1:27" s="159" customFormat="1" ht="16.5" thickBot="1" x14ac:dyDescent="0.35">
      <c r="A80" s="197"/>
      <c r="B80" s="198"/>
      <c r="C80" s="198"/>
      <c r="D80" s="198"/>
      <c r="E80" s="198"/>
      <c r="F80" s="198"/>
      <c r="G80" s="199" t="s">
        <v>515</v>
      </c>
      <c r="H80" s="209">
        <v>1</v>
      </c>
      <c r="I80" s="200" t="s">
        <v>10</v>
      </c>
      <c r="J80" s="172"/>
      <c r="K80" s="172"/>
      <c r="L80" s="172"/>
      <c r="M80" s="172"/>
      <c r="N80" s="172"/>
      <c r="O80" s="172"/>
      <c r="P80" s="172"/>
      <c r="Q80" s="172"/>
      <c r="R80" s="172"/>
      <c r="S80" s="172"/>
      <c r="T80" s="172"/>
      <c r="U80" s="172"/>
      <c r="V80" s="172"/>
      <c r="W80" s="172"/>
      <c r="X80" s="174"/>
      <c r="Y80" s="174"/>
      <c r="Z80" s="174"/>
      <c r="AA80" s="189"/>
    </row>
    <row r="81" spans="1:27" s="159" customFormat="1" x14ac:dyDescent="0.25">
      <c r="A81" s="172"/>
      <c r="B81" s="172"/>
      <c r="C81" s="172"/>
      <c r="D81" s="172"/>
      <c r="E81" s="172"/>
      <c r="F81" s="172"/>
      <c r="G81" s="173"/>
      <c r="H81" s="172"/>
      <c r="I81" s="172"/>
      <c r="J81" s="172"/>
      <c r="K81" s="172"/>
      <c r="L81" s="172"/>
      <c r="M81" s="172"/>
      <c r="N81" s="172"/>
      <c r="O81" s="172"/>
      <c r="P81" s="172"/>
      <c r="Q81" s="172"/>
      <c r="R81" s="172"/>
      <c r="S81" s="172"/>
      <c r="T81" s="172"/>
      <c r="U81" s="172"/>
      <c r="V81" s="172"/>
      <c r="W81" s="172"/>
      <c r="X81" s="174"/>
      <c r="Y81" s="174"/>
      <c r="Z81" s="174"/>
      <c r="AA81" s="189"/>
    </row>
    <row r="82" spans="1:27" s="159" customFormat="1" ht="18.75" thickBot="1" x14ac:dyDescent="0.4">
      <c r="A82" s="175" t="s">
        <v>595</v>
      </c>
      <c r="B82" s="172"/>
      <c r="C82" s="172"/>
      <c r="D82" s="172"/>
      <c r="E82" s="172"/>
      <c r="F82" s="172"/>
      <c r="G82" s="173"/>
      <c r="H82" s="172"/>
      <c r="I82" s="172"/>
      <c r="J82" s="172"/>
      <c r="K82" s="172"/>
      <c r="L82" s="172"/>
      <c r="M82" s="172"/>
      <c r="N82" s="172"/>
      <c r="O82" s="172"/>
      <c r="P82" s="172"/>
      <c r="Q82" s="172"/>
      <c r="R82" s="172"/>
      <c r="S82" s="172"/>
      <c r="T82" s="172"/>
      <c r="U82" s="172"/>
      <c r="V82" s="172"/>
      <c r="W82" s="172"/>
      <c r="X82" s="174"/>
      <c r="Y82" s="174"/>
      <c r="Z82" s="174"/>
      <c r="AA82" s="189"/>
    </row>
    <row r="83" spans="1:27" s="159" customFormat="1" ht="15.75" x14ac:dyDescent="0.3">
      <c r="A83" s="190"/>
      <c r="B83" s="191"/>
      <c r="C83" s="191"/>
      <c r="D83" s="191"/>
      <c r="E83" s="191"/>
      <c r="F83" s="191"/>
      <c r="G83" s="192" t="s">
        <v>583</v>
      </c>
      <c r="H83" s="207">
        <v>4</v>
      </c>
      <c r="I83" s="193" t="s">
        <v>334</v>
      </c>
      <c r="J83" s="172"/>
      <c r="K83" s="172"/>
      <c r="L83" s="172"/>
      <c r="M83" s="172"/>
      <c r="N83" s="172"/>
      <c r="O83" s="172"/>
      <c r="P83" s="172"/>
      <c r="Q83" s="172"/>
      <c r="R83" s="172"/>
      <c r="S83" s="172"/>
      <c r="T83" s="172"/>
      <c r="U83" s="172"/>
      <c r="V83" s="172"/>
      <c r="W83" s="172"/>
      <c r="X83" s="174"/>
      <c r="Y83" s="174"/>
      <c r="Z83" s="174"/>
      <c r="AA83" s="189"/>
    </row>
    <row r="84" spans="1:27" s="159" customFormat="1" ht="15.75" x14ac:dyDescent="0.3">
      <c r="A84" s="196"/>
      <c r="B84" s="172"/>
      <c r="C84" s="172"/>
      <c r="D84" s="172"/>
      <c r="E84" s="172"/>
      <c r="F84" s="172"/>
      <c r="G84" s="176" t="s">
        <v>584</v>
      </c>
      <c r="H84" s="208">
        <v>12</v>
      </c>
      <c r="I84" s="195" t="s">
        <v>335</v>
      </c>
      <c r="J84" s="172"/>
      <c r="K84" s="172"/>
      <c r="L84" s="172"/>
      <c r="M84" s="172"/>
      <c r="N84" s="172"/>
      <c r="O84" s="172"/>
      <c r="P84" s="172"/>
      <c r="Q84" s="172"/>
      <c r="R84" s="172"/>
      <c r="S84" s="172"/>
      <c r="T84" s="172"/>
      <c r="U84" s="172"/>
      <c r="V84" s="172"/>
      <c r="W84" s="172"/>
      <c r="X84" s="174"/>
      <c r="Y84" s="174"/>
      <c r="Z84" s="174"/>
      <c r="AA84" s="189"/>
    </row>
    <row r="85" spans="1:27" s="159" customFormat="1" ht="15.75" x14ac:dyDescent="0.3">
      <c r="A85" s="196"/>
      <c r="B85" s="172"/>
      <c r="C85" s="172"/>
      <c r="D85" s="172"/>
      <c r="E85" s="172"/>
      <c r="F85" s="172"/>
      <c r="G85" s="176" t="s">
        <v>585</v>
      </c>
      <c r="H85" s="208">
        <v>1.7</v>
      </c>
      <c r="I85" s="195" t="s">
        <v>335</v>
      </c>
      <c r="J85" s="172"/>
      <c r="K85" s="172"/>
      <c r="L85" s="172"/>
      <c r="M85" s="172"/>
      <c r="N85" s="172"/>
      <c r="O85" s="172"/>
      <c r="P85" s="172"/>
      <c r="Q85" s="172"/>
      <c r="R85" s="172"/>
      <c r="S85" s="172"/>
      <c r="T85" s="172"/>
      <c r="U85" s="172"/>
      <c r="V85" s="172"/>
      <c r="W85" s="172"/>
      <c r="X85" s="174"/>
      <c r="Y85" s="174"/>
      <c r="Z85" s="174"/>
      <c r="AA85" s="189"/>
    </row>
    <row r="86" spans="1:27" s="159" customFormat="1" ht="15.75" x14ac:dyDescent="0.3">
      <c r="A86" s="196"/>
      <c r="B86" s="172"/>
      <c r="C86" s="172"/>
      <c r="D86" s="172"/>
      <c r="E86" s="172"/>
      <c r="F86" s="172"/>
      <c r="G86" s="176" t="s">
        <v>586</v>
      </c>
      <c r="H86" s="208">
        <v>1.9</v>
      </c>
      <c r="I86" s="195" t="s">
        <v>335</v>
      </c>
      <c r="J86" s="172"/>
      <c r="K86" s="172"/>
      <c r="L86" s="172"/>
      <c r="M86" s="172"/>
      <c r="N86" s="172"/>
      <c r="O86" s="172"/>
      <c r="P86" s="172"/>
      <c r="Q86" s="172"/>
      <c r="R86" s="172"/>
      <c r="S86" s="172"/>
      <c r="T86" s="172"/>
      <c r="U86" s="172"/>
      <c r="V86" s="172"/>
      <c r="W86" s="172"/>
      <c r="X86" s="174"/>
      <c r="Y86" s="174"/>
      <c r="Z86" s="174"/>
      <c r="AA86" s="189"/>
    </row>
    <row r="87" spans="1:27" s="159" customFormat="1" ht="15.75" x14ac:dyDescent="0.3">
      <c r="A87" s="196"/>
      <c r="B87" s="172"/>
      <c r="C87" s="172"/>
      <c r="D87" s="172"/>
      <c r="E87" s="172"/>
      <c r="F87" s="172"/>
      <c r="G87" s="176" t="s">
        <v>582</v>
      </c>
      <c r="H87" s="208">
        <v>3.2</v>
      </c>
      <c r="I87" s="195" t="s">
        <v>336</v>
      </c>
      <c r="J87" s="172"/>
      <c r="K87" s="172"/>
      <c r="L87" s="172"/>
      <c r="M87" s="172"/>
      <c r="N87" s="172"/>
      <c r="O87" s="172"/>
      <c r="P87" s="172"/>
      <c r="Q87" s="172"/>
      <c r="R87" s="172"/>
      <c r="S87" s="172"/>
      <c r="T87" s="172"/>
      <c r="U87" s="172"/>
      <c r="V87" s="172"/>
      <c r="W87" s="172"/>
      <c r="X87" s="174"/>
      <c r="Y87" s="174"/>
      <c r="Z87" s="174"/>
      <c r="AA87" s="189"/>
    </row>
    <row r="88" spans="1:27" s="159" customFormat="1" ht="15.75" x14ac:dyDescent="0.3">
      <c r="A88" s="196"/>
      <c r="B88" s="172"/>
      <c r="C88" s="172"/>
      <c r="D88" s="172"/>
      <c r="E88" s="172"/>
      <c r="F88" s="172"/>
      <c r="G88" s="176" t="s">
        <v>581</v>
      </c>
      <c r="H88" s="208">
        <v>1</v>
      </c>
      <c r="I88" s="195" t="s">
        <v>10</v>
      </c>
      <c r="J88" s="172"/>
      <c r="K88" s="172"/>
      <c r="L88" s="172"/>
      <c r="M88" s="172"/>
      <c r="N88" s="172"/>
      <c r="O88" s="172"/>
      <c r="P88" s="172"/>
      <c r="Q88" s="172"/>
      <c r="R88" s="172"/>
      <c r="S88" s="172"/>
      <c r="T88" s="172"/>
      <c r="U88" s="172"/>
      <c r="V88" s="172"/>
      <c r="W88" s="172"/>
      <c r="X88" s="174"/>
      <c r="Y88" s="174"/>
      <c r="Z88" s="174"/>
      <c r="AA88" s="189"/>
    </row>
    <row r="89" spans="1:27" s="159" customFormat="1" ht="18" x14ac:dyDescent="0.35">
      <c r="A89" s="196"/>
      <c r="B89" s="172"/>
      <c r="C89" s="172"/>
      <c r="D89" s="172"/>
      <c r="E89" s="172"/>
      <c r="F89" s="172"/>
      <c r="G89" s="173" t="s">
        <v>579</v>
      </c>
      <c r="H89" s="208">
        <v>0</v>
      </c>
      <c r="I89" s="201" t="s">
        <v>335</v>
      </c>
      <c r="J89" s="172"/>
      <c r="K89" s="172"/>
      <c r="L89" s="172"/>
      <c r="M89" s="172"/>
      <c r="N89" s="172"/>
      <c r="O89" s="172"/>
      <c r="P89" s="172"/>
      <c r="Q89" s="172"/>
      <c r="R89" s="172"/>
      <c r="S89" s="172"/>
      <c r="T89" s="172"/>
      <c r="U89" s="172"/>
      <c r="V89" s="172"/>
      <c r="W89" s="172"/>
      <c r="X89" s="174"/>
      <c r="Y89" s="174"/>
      <c r="Z89" s="174"/>
      <c r="AA89" s="189"/>
    </row>
    <row r="90" spans="1:27" s="159" customFormat="1" ht="18.75" thickBot="1" x14ac:dyDescent="0.4">
      <c r="A90" s="197"/>
      <c r="B90" s="198"/>
      <c r="C90" s="198"/>
      <c r="D90" s="198"/>
      <c r="E90" s="198"/>
      <c r="F90" s="198"/>
      <c r="G90" s="202" t="s">
        <v>580</v>
      </c>
      <c r="H90" s="209">
        <v>0.6</v>
      </c>
      <c r="I90" s="203" t="s">
        <v>10</v>
      </c>
      <c r="J90" s="172"/>
      <c r="K90" s="172"/>
      <c r="L90" s="172"/>
      <c r="M90" s="172"/>
      <c r="N90" s="172"/>
      <c r="O90" s="172"/>
      <c r="P90" s="172"/>
      <c r="Q90" s="172"/>
      <c r="R90" s="172"/>
      <c r="S90" s="172"/>
      <c r="T90" s="172"/>
      <c r="U90" s="172"/>
      <c r="V90" s="172"/>
      <c r="W90" s="172"/>
      <c r="X90" s="174"/>
      <c r="Y90" s="174"/>
      <c r="Z90" s="174"/>
      <c r="AA90" s="189"/>
    </row>
    <row r="91" spans="1:27" x14ac:dyDescent="0.25">
      <c r="A91" s="172"/>
      <c r="B91" s="172"/>
      <c r="C91" s="172"/>
      <c r="D91" s="172"/>
      <c r="E91" s="172"/>
      <c r="F91" s="172"/>
      <c r="G91" s="173"/>
      <c r="H91" s="172"/>
      <c r="I91" s="172"/>
      <c r="J91" s="172"/>
      <c r="K91" s="172"/>
      <c r="L91" s="172"/>
      <c r="M91" s="172"/>
      <c r="N91" s="172"/>
      <c r="O91" s="172"/>
      <c r="P91" s="172"/>
      <c r="Q91" s="172"/>
      <c r="R91" s="172"/>
      <c r="S91" s="172"/>
      <c r="T91" s="172"/>
      <c r="U91" s="172"/>
      <c r="V91" s="172"/>
      <c r="W91" s="172"/>
      <c r="X91" s="102"/>
      <c r="Y91" s="102"/>
      <c r="Z91" s="102"/>
      <c r="AA91" s="92"/>
    </row>
    <row r="92" spans="1:27" x14ac:dyDescent="0.25">
      <c r="A92" s="172"/>
      <c r="B92" s="172"/>
      <c r="C92" s="172"/>
      <c r="D92" s="172"/>
      <c r="E92" s="172"/>
      <c r="F92" s="172"/>
      <c r="G92" s="173"/>
      <c r="H92" s="172"/>
      <c r="I92" s="172"/>
      <c r="J92" s="172"/>
      <c r="K92" s="172"/>
      <c r="L92" s="172"/>
      <c r="M92" s="172"/>
      <c r="N92" s="172"/>
      <c r="O92" s="172"/>
      <c r="P92" s="172"/>
      <c r="Q92" s="172"/>
      <c r="R92" s="172"/>
      <c r="S92" s="172"/>
      <c r="T92" s="172"/>
      <c r="U92" s="172"/>
      <c r="V92" s="172"/>
      <c r="W92" s="172"/>
      <c r="X92" s="102"/>
      <c r="Y92" s="102"/>
      <c r="Z92" s="102"/>
      <c r="AA92" s="92"/>
    </row>
    <row r="93" spans="1:27" x14ac:dyDescent="0.25">
      <c r="A93" s="172"/>
      <c r="B93" s="172"/>
      <c r="C93" s="172"/>
      <c r="D93" s="172"/>
      <c r="E93" s="172"/>
      <c r="F93" s="172"/>
      <c r="G93" s="173"/>
      <c r="H93" s="172"/>
      <c r="I93" s="172"/>
      <c r="J93" s="172"/>
      <c r="K93" s="172"/>
      <c r="L93" s="172"/>
      <c r="M93" s="172"/>
      <c r="N93" s="172"/>
      <c r="O93" s="172"/>
      <c r="P93" s="172"/>
      <c r="Q93" s="172"/>
      <c r="R93" s="172"/>
      <c r="S93" s="172"/>
      <c r="T93" s="172"/>
      <c r="U93" s="172"/>
      <c r="V93" s="172"/>
      <c r="W93" s="172"/>
      <c r="X93" s="102"/>
      <c r="Y93" s="102"/>
      <c r="Z93" s="102"/>
      <c r="AA93" s="92"/>
    </row>
    <row r="94" spans="1:27" x14ac:dyDescent="0.25">
      <c r="A94" s="172"/>
      <c r="B94" s="172"/>
      <c r="C94" s="172"/>
      <c r="D94" s="172"/>
      <c r="E94" s="172"/>
      <c r="F94" s="172"/>
      <c r="G94" s="173"/>
      <c r="H94" s="172"/>
      <c r="I94" s="172"/>
      <c r="J94" s="172"/>
      <c r="K94" s="172"/>
      <c r="L94" s="172"/>
      <c r="M94" s="172"/>
      <c r="N94" s="172"/>
      <c r="O94" s="172"/>
      <c r="P94" s="172"/>
      <c r="Q94" s="172"/>
      <c r="R94" s="172"/>
      <c r="S94" s="172"/>
      <c r="T94" s="172"/>
      <c r="U94" s="172"/>
      <c r="V94" s="172"/>
      <c r="W94" s="172"/>
      <c r="X94" s="102"/>
      <c r="Y94" s="102"/>
      <c r="Z94" s="102"/>
      <c r="AA94" s="92"/>
    </row>
    <row r="95" spans="1:27" x14ac:dyDescent="0.25">
      <c r="A95" s="172"/>
      <c r="B95" s="172"/>
      <c r="C95" s="172"/>
      <c r="D95" s="172"/>
      <c r="E95" s="172"/>
      <c r="F95" s="172"/>
      <c r="G95" s="173"/>
      <c r="H95" s="172"/>
      <c r="I95" s="172"/>
      <c r="J95" s="172"/>
      <c r="K95" s="172"/>
      <c r="L95" s="172"/>
      <c r="M95" s="172"/>
      <c r="N95" s="172"/>
      <c r="O95" s="172"/>
      <c r="P95" s="172"/>
      <c r="Q95" s="172"/>
      <c r="R95" s="172"/>
      <c r="S95" s="172"/>
      <c r="T95" s="172"/>
      <c r="U95" s="172"/>
      <c r="V95" s="172"/>
      <c r="W95" s="172"/>
      <c r="X95" s="102"/>
      <c r="Y95" s="102"/>
      <c r="Z95" s="102"/>
      <c r="AA95" s="92"/>
    </row>
    <row r="96" spans="1:27" x14ac:dyDescent="0.25">
      <c r="A96" s="102"/>
      <c r="B96" s="102"/>
      <c r="C96" s="102"/>
      <c r="D96" s="102"/>
      <c r="E96" s="102"/>
      <c r="F96" s="102"/>
      <c r="G96" s="103"/>
      <c r="H96" s="102"/>
      <c r="I96" s="102"/>
      <c r="J96" s="102"/>
      <c r="K96" s="102"/>
      <c r="L96" s="102"/>
      <c r="M96" s="102"/>
      <c r="N96" s="102"/>
      <c r="O96" s="102"/>
      <c r="P96" s="102"/>
      <c r="Q96" s="102"/>
      <c r="R96" s="102"/>
      <c r="S96" s="102"/>
      <c r="T96" s="102"/>
      <c r="U96" s="102"/>
      <c r="V96" s="102"/>
      <c r="W96" s="102"/>
      <c r="X96" s="102"/>
      <c r="Y96" s="102"/>
      <c r="Z96" s="102"/>
      <c r="AA96" s="92"/>
    </row>
    <row r="97" spans="1:27" x14ac:dyDescent="0.25">
      <c r="A97" s="102"/>
      <c r="B97" s="102"/>
      <c r="C97" s="102"/>
      <c r="D97" s="102"/>
      <c r="E97" s="102"/>
      <c r="F97" s="102"/>
      <c r="G97" s="103"/>
      <c r="H97" s="102"/>
      <c r="I97" s="102"/>
      <c r="J97" s="102"/>
      <c r="K97" s="102"/>
      <c r="L97" s="102"/>
      <c r="M97" s="102"/>
      <c r="N97" s="102"/>
      <c r="O97" s="102"/>
      <c r="P97" s="102"/>
      <c r="Q97" s="102"/>
      <c r="R97" s="102"/>
      <c r="S97" s="102"/>
      <c r="T97" s="102"/>
      <c r="U97" s="102"/>
      <c r="V97" s="102"/>
      <c r="W97" s="102"/>
      <c r="X97" s="102"/>
      <c r="Y97" s="102"/>
      <c r="Z97" s="102"/>
      <c r="AA97" s="92"/>
    </row>
    <row r="98" spans="1:27" x14ac:dyDescent="0.25">
      <c r="A98" s="92"/>
      <c r="B98" s="92"/>
      <c r="C98" s="92"/>
      <c r="D98" s="92"/>
      <c r="E98" s="92"/>
      <c r="F98" s="92"/>
      <c r="G98" s="93"/>
      <c r="H98" s="92"/>
      <c r="I98" s="92"/>
      <c r="J98" s="92"/>
      <c r="K98" s="92"/>
      <c r="L98" s="92"/>
      <c r="M98" s="92"/>
      <c r="N98" s="92"/>
      <c r="O98" s="92"/>
      <c r="P98" s="92"/>
      <c r="Q98" s="92"/>
      <c r="R98" s="92"/>
      <c r="S98" s="92"/>
      <c r="T98" s="92"/>
      <c r="U98" s="92"/>
      <c r="V98" s="92"/>
      <c r="W98" s="92"/>
      <c r="X98" s="92"/>
      <c r="Y98" s="92"/>
      <c r="Z98" s="92"/>
      <c r="AA98" s="90"/>
    </row>
  </sheetData>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561975</xdr:colOff>
                    <xdr:row>53</xdr:row>
                    <xdr:rowOff>0</xdr:rowOff>
                  </from>
                  <to>
                    <xdr:col>8</xdr:col>
                    <xdr:colOff>9525</xdr:colOff>
                    <xdr:row>55</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Lists!$F$3:$F$5</xm:f>
          </x14:formula1>
          <xm:sqref>H12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8"/>
  <sheetViews>
    <sheetView zoomScaleNormal="100" workbookViewId="0">
      <pane ySplit="5" topLeftCell="A243" activePane="bottomLeft" state="frozen"/>
      <selection pane="bottomLeft" activeCell="C253" sqref="C253"/>
    </sheetView>
  </sheetViews>
  <sheetFormatPr baseColWidth="10" defaultColWidth="9.140625" defaultRowHeight="15" x14ac:dyDescent="0.25"/>
  <cols>
    <col min="1" max="1" width="28.85546875" customWidth="1"/>
    <col min="2" max="2" width="19.5703125" customWidth="1"/>
    <col min="3" max="3" width="10.85546875" customWidth="1"/>
    <col min="4" max="4" width="10" bestFit="1" customWidth="1"/>
    <col min="5" max="5" width="18.5703125" customWidth="1"/>
    <col min="6" max="6" width="14.85546875" customWidth="1"/>
    <col min="7" max="7" width="15.140625" customWidth="1"/>
    <col min="8" max="9" width="12.5703125" customWidth="1"/>
    <col min="12" max="12" width="12.42578125" bestFit="1" customWidth="1"/>
  </cols>
  <sheetData>
    <row r="1" spans="1:17" ht="27.75" x14ac:dyDescent="0.4">
      <c r="A1" s="213" t="s">
        <v>15</v>
      </c>
      <c r="B1" s="213"/>
      <c r="C1" s="213"/>
      <c r="D1" s="213"/>
      <c r="E1" s="213"/>
      <c r="F1" s="213"/>
      <c r="G1" s="213"/>
      <c r="H1" s="213"/>
      <c r="I1" s="213"/>
      <c r="J1" s="213"/>
    </row>
    <row r="2" spans="1:17" x14ac:dyDescent="0.25">
      <c r="A2" s="5"/>
      <c r="B2" s="5" t="s">
        <v>16</v>
      </c>
      <c r="C2" s="6"/>
      <c r="D2" s="4"/>
      <c r="E2" s="5"/>
      <c r="F2" s="5"/>
      <c r="G2" s="5"/>
      <c r="H2" s="5"/>
      <c r="I2" s="5"/>
      <c r="J2" s="5"/>
    </row>
    <row r="3" spans="1:17" x14ac:dyDescent="0.25">
      <c r="A3" s="5"/>
      <c r="B3" s="5" t="s">
        <v>17</v>
      </c>
      <c r="C3" s="7"/>
      <c r="D3" s="4"/>
      <c r="E3" s="5"/>
      <c r="F3" s="14" t="s">
        <v>60</v>
      </c>
      <c r="G3" s="15" t="s">
        <v>61</v>
      </c>
      <c r="H3" s="24" t="s">
        <v>533</v>
      </c>
      <c r="I3" s="5"/>
      <c r="J3" s="5"/>
    </row>
    <row r="4" spans="1:17" x14ac:dyDescent="0.25">
      <c r="A4" s="5"/>
      <c r="B4" s="5" t="s">
        <v>18</v>
      </c>
      <c r="C4" s="8"/>
      <c r="D4" s="4"/>
      <c r="E4" s="5"/>
      <c r="F4" s="5"/>
      <c r="G4" s="5"/>
      <c r="H4" s="5"/>
      <c r="I4" s="5"/>
      <c r="J4" s="5"/>
    </row>
    <row r="5" spans="1:17" x14ac:dyDescent="0.25">
      <c r="A5" s="9" t="s">
        <v>19</v>
      </c>
      <c r="B5" s="9" t="s">
        <v>20</v>
      </c>
      <c r="C5" s="9" t="s">
        <v>21</v>
      </c>
      <c r="D5" s="4"/>
      <c r="E5" s="214" t="s">
        <v>22</v>
      </c>
      <c r="F5" s="214"/>
      <c r="G5" s="214"/>
      <c r="H5" s="214"/>
      <c r="I5" s="5"/>
      <c r="J5" s="9" t="s">
        <v>23</v>
      </c>
      <c r="K5" s="9" t="s">
        <v>67</v>
      </c>
      <c r="L5" s="4"/>
      <c r="M5" s="4"/>
      <c r="N5" s="4"/>
      <c r="O5" s="4"/>
      <c r="P5" s="4"/>
      <c r="Q5" s="4"/>
    </row>
    <row r="6" spans="1:17" ht="15.75" x14ac:dyDescent="0.25">
      <c r="A6" s="10" t="s">
        <v>24</v>
      </c>
      <c r="B6" s="9"/>
      <c r="C6" s="9"/>
      <c r="D6" s="9"/>
      <c r="E6" s="5"/>
      <c r="F6" s="5"/>
      <c r="G6" s="5"/>
      <c r="H6" s="5"/>
      <c r="I6" s="5"/>
      <c r="J6" s="9"/>
      <c r="K6" s="4"/>
      <c r="L6" s="4"/>
      <c r="M6" s="4"/>
      <c r="N6" s="4"/>
      <c r="O6" s="4"/>
      <c r="P6" s="4"/>
      <c r="Q6" s="4"/>
    </row>
    <row r="7" spans="1:17" x14ac:dyDescent="0.25">
      <c r="A7" t="s">
        <v>25</v>
      </c>
      <c r="B7" s="3">
        <f>'Design Converter'!H7</f>
        <v>11</v>
      </c>
      <c r="C7" t="s">
        <v>10</v>
      </c>
      <c r="E7" t="s">
        <v>28</v>
      </c>
    </row>
    <row r="8" spans="1:17" x14ac:dyDescent="0.25">
      <c r="A8" t="s">
        <v>26</v>
      </c>
      <c r="B8" s="3">
        <f>'Design Converter'!H8</f>
        <v>11</v>
      </c>
      <c r="C8" t="s">
        <v>10</v>
      </c>
      <c r="E8" t="s">
        <v>29</v>
      </c>
      <c r="K8">
        <f>IF(VIN_min&lt;VIN_min,1,IF(VIN_nom&gt;VIN_max,1,0))</f>
        <v>0</v>
      </c>
    </row>
    <row r="9" spans="1:17" x14ac:dyDescent="0.25">
      <c r="A9" t="s">
        <v>27</v>
      </c>
      <c r="B9" s="3">
        <f>'Design Converter'!H9</f>
        <v>22</v>
      </c>
      <c r="C9" t="s">
        <v>10</v>
      </c>
      <c r="E9" t="s">
        <v>30</v>
      </c>
    </row>
    <row r="10" spans="1:17" x14ac:dyDescent="0.25">
      <c r="A10" t="s">
        <v>64</v>
      </c>
      <c r="B10" s="3">
        <f>'Design Converter'!H13*1000</f>
        <v>1000000</v>
      </c>
      <c r="C10" t="s">
        <v>65</v>
      </c>
      <c r="E10" t="s">
        <v>66</v>
      </c>
    </row>
    <row r="11" spans="1:17" x14ac:dyDescent="0.25">
      <c r="A11" t="s">
        <v>68</v>
      </c>
      <c r="B11" s="18">
        <f>((2.21*10^10)/Fsw)-955</f>
        <v>21145</v>
      </c>
      <c r="C11" s="2" t="s">
        <v>36</v>
      </c>
      <c r="E11" t="s">
        <v>69</v>
      </c>
    </row>
    <row r="12" spans="1:17" x14ac:dyDescent="0.25">
      <c r="A12" t="s">
        <v>31</v>
      </c>
      <c r="B12" s="3">
        <f>'Design Converter'!H10</f>
        <v>53.5</v>
      </c>
      <c r="C12" t="s">
        <v>10</v>
      </c>
      <c r="E12" t="s">
        <v>32</v>
      </c>
    </row>
    <row r="13" spans="1:17" x14ac:dyDescent="0.25">
      <c r="A13" t="s">
        <v>33</v>
      </c>
      <c r="B13" s="3">
        <f>'Design Converter'!H11</f>
        <v>6</v>
      </c>
      <c r="C13" t="s">
        <v>11</v>
      </c>
      <c r="E13" t="s">
        <v>34</v>
      </c>
    </row>
    <row r="14" spans="1:17" x14ac:dyDescent="0.25">
      <c r="A14" t="s">
        <v>35</v>
      </c>
      <c r="B14" s="17">
        <f>VOUT/IOUT</f>
        <v>8.9166666666666661</v>
      </c>
      <c r="C14" s="2" t="s">
        <v>36</v>
      </c>
      <c r="E14" t="s">
        <v>41</v>
      </c>
    </row>
    <row r="15" spans="1:17" x14ac:dyDescent="0.25">
      <c r="A15" t="s">
        <v>37</v>
      </c>
      <c r="B15" s="1">
        <f>VOUT*IOUT</f>
        <v>321</v>
      </c>
      <c r="C15" s="2" t="s">
        <v>38</v>
      </c>
      <c r="E15" t="s">
        <v>40</v>
      </c>
    </row>
    <row r="16" spans="1:17" x14ac:dyDescent="0.25">
      <c r="A16" t="s">
        <v>39</v>
      </c>
      <c r="B16" s="11">
        <v>1</v>
      </c>
      <c r="E16" t="s">
        <v>525</v>
      </c>
    </row>
    <row r="17" spans="1:11" x14ac:dyDescent="0.25">
      <c r="A17" t="s">
        <v>531</v>
      </c>
      <c r="B17" s="12">
        <v>1</v>
      </c>
      <c r="E17" t="s">
        <v>532</v>
      </c>
    </row>
    <row r="19" spans="1:11" x14ac:dyDescent="0.25">
      <c r="A19" t="s">
        <v>518</v>
      </c>
      <c r="B19">
        <f>IF(VOUT&lt;=15,1,2)</f>
        <v>2</v>
      </c>
      <c r="E19" t="s">
        <v>520</v>
      </c>
    </row>
    <row r="20" spans="1:11" x14ac:dyDescent="0.25">
      <c r="A20" t="s">
        <v>522</v>
      </c>
      <c r="B20">
        <f>IF('Design Converter'!H12="FPWM",3,IF('Design Converter'!H12="DEM",2,1))</f>
        <v>3</v>
      </c>
      <c r="E20" t="s">
        <v>523</v>
      </c>
    </row>
    <row r="22" spans="1:11" x14ac:dyDescent="0.25">
      <c r="A22" t="s">
        <v>42</v>
      </c>
      <c r="B22" s="1">
        <f>1-VIN_min*EFF_est/VOUT</f>
        <v>0.79439252336448596</v>
      </c>
      <c r="E22" t="s">
        <v>420</v>
      </c>
    </row>
    <row r="23" spans="1:11" x14ac:dyDescent="0.25">
      <c r="A23" t="s">
        <v>43</v>
      </c>
      <c r="B23" s="12">
        <f>Constants!B20-0.02</f>
        <v>0.88</v>
      </c>
      <c r="E23" t="s">
        <v>528</v>
      </c>
    </row>
    <row r="24" spans="1:11" x14ac:dyDescent="0.25">
      <c r="B24" s="160"/>
    </row>
    <row r="25" spans="1:11" x14ac:dyDescent="0.25">
      <c r="A25" t="s">
        <v>424</v>
      </c>
      <c r="B25" s="150">
        <f>IF(B22&gt;Dc_max_IC,1,2)</f>
        <v>2</v>
      </c>
      <c r="E25" t="s">
        <v>526</v>
      </c>
      <c r="K25">
        <f>IF(B25=1,1,0)</f>
        <v>0</v>
      </c>
    </row>
    <row r="26" spans="1:11" x14ac:dyDescent="0.25">
      <c r="E26" t="s">
        <v>527</v>
      </c>
    </row>
    <row r="28" spans="1:11" x14ac:dyDescent="0.25">
      <c r="A28" s="19" t="s">
        <v>72</v>
      </c>
      <c r="E28" t="b">
        <f>AND((1-(VIN_max/VOUT))&lt;Dc_rip_max,(1-(VIN_min/VOUT))&lt;Dc_rip_max)</f>
        <v>0</v>
      </c>
    </row>
    <row r="29" spans="1:11" x14ac:dyDescent="0.25">
      <c r="A29" s="151" t="s">
        <v>426</v>
      </c>
    </row>
    <row r="30" spans="1:11" x14ac:dyDescent="0.25">
      <c r="A30" t="s">
        <v>88</v>
      </c>
      <c r="B30" s="3">
        <f>'Design Converter'!H21/100</f>
        <v>0.6</v>
      </c>
      <c r="E30" t="s">
        <v>107</v>
      </c>
    </row>
    <row r="31" spans="1:11" x14ac:dyDescent="0.25">
      <c r="A31" t="s">
        <v>118</v>
      </c>
      <c r="B31" s="12">
        <v>0.33</v>
      </c>
      <c r="C31" t="s">
        <v>13</v>
      </c>
      <c r="E31" t="s">
        <v>117</v>
      </c>
    </row>
    <row r="32" spans="1:11" x14ac:dyDescent="0.25">
      <c r="A32" t="s">
        <v>425</v>
      </c>
      <c r="B32" s="16">
        <f>IF(AND((1-(VIN_max/VOUT))&lt;Dc_rip_max,(1-(VIN_min/VOUT))&gt;=Dc_rip_max),Dc_rip_max,IF((1-(VIN_max/VOUT))&gt;Dc_rip_max,(1-(VIN_max/VOUT)),IF((1-(VIN_min/VOUT))&lt;Dc_rip_max,(1-(VIN_min/VOUT)),0.33)))</f>
        <v>0.58878504672897192</v>
      </c>
    </row>
    <row r="33" spans="1:5" x14ac:dyDescent="0.25">
      <c r="A33" t="s">
        <v>94</v>
      </c>
      <c r="B33" s="1">
        <f>VOUT*(1-DC_rip)</f>
        <v>22.000000000000004</v>
      </c>
      <c r="C33" t="s">
        <v>10</v>
      </c>
      <c r="E33" t="s">
        <v>120</v>
      </c>
    </row>
    <row r="35" spans="1:5" x14ac:dyDescent="0.25">
      <c r="A35" t="s">
        <v>95</v>
      </c>
      <c r="B35" s="16">
        <f>(VOUT*IOUT)/(VIN_33)</f>
        <v>14.590909090909088</v>
      </c>
      <c r="C35" t="s">
        <v>11</v>
      </c>
      <c r="E35" t="s">
        <v>119</v>
      </c>
    </row>
    <row r="36" spans="1:5" x14ac:dyDescent="0.25">
      <c r="A36" t="s">
        <v>96</v>
      </c>
      <c r="B36" s="23">
        <f>(VIN_33*DC_rip)/(IIN_33*ILrip*Fsw)</f>
        <v>1.4796052056948213E-6</v>
      </c>
      <c r="C36" t="s">
        <v>87</v>
      </c>
      <c r="E36" t="s">
        <v>440</v>
      </c>
    </row>
    <row r="38" spans="1:5" x14ac:dyDescent="0.25">
      <c r="A38" s="151" t="s">
        <v>529</v>
      </c>
    </row>
    <row r="39" spans="1:5" x14ac:dyDescent="0.25">
      <c r="A39" t="s">
        <v>429</v>
      </c>
      <c r="B39" s="3">
        <f>'Design Converter'!H21/100</f>
        <v>0.6</v>
      </c>
      <c r="E39" t="s">
        <v>430</v>
      </c>
    </row>
    <row r="40" spans="1:5" x14ac:dyDescent="0.25">
      <c r="A40" t="s">
        <v>428</v>
      </c>
      <c r="B40" s="23">
        <f>((DC_DCM_max^2)*(VIN_min^2))/(2*IOUT*VOUT*Fsw-2*IOUT*VIN_min*Fsw)</f>
        <v>8.5411764705882346E-8</v>
      </c>
      <c r="C40" t="s">
        <v>87</v>
      </c>
      <c r="E40" t="s">
        <v>427</v>
      </c>
    </row>
    <row r="41" spans="1:5" x14ac:dyDescent="0.25">
      <c r="A41" t="s">
        <v>431</v>
      </c>
      <c r="B41" s="12">
        <v>0.2</v>
      </c>
      <c r="E41" t="s">
        <v>432</v>
      </c>
    </row>
    <row r="42" spans="1:5" x14ac:dyDescent="0.25">
      <c r="A42" t="s">
        <v>433</v>
      </c>
      <c r="B42" s="23">
        <f>(1-M_L_DCM)*((VIN_min^2)*(1-(VIN_min/VOUT)))/(2*IOUT*VOUT*Fsw)</f>
        <v>1.1977756427053309E-7</v>
      </c>
      <c r="C42" t="s">
        <v>87</v>
      </c>
      <c r="E42" t="s">
        <v>434</v>
      </c>
    </row>
    <row r="43" spans="1:5" x14ac:dyDescent="0.25">
      <c r="A43" t="s">
        <v>435</v>
      </c>
      <c r="B43" s="23">
        <f>MIN(B40,B42)</f>
        <v>8.5411764705882346E-8</v>
      </c>
      <c r="C43" t="s">
        <v>87</v>
      </c>
      <c r="E43" t="s">
        <v>436</v>
      </c>
    </row>
    <row r="44" spans="1:5" x14ac:dyDescent="0.25">
      <c r="B44" s="154"/>
    </row>
    <row r="45" spans="1:5" x14ac:dyDescent="0.25">
      <c r="A45" t="s">
        <v>439</v>
      </c>
      <c r="B45" s="23">
        <f>IF(B25=1,B43,Lopt_2)</f>
        <v>1.4796052056948213E-6</v>
      </c>
      <c r="E45" t="s">
        <v>437</v>
      </c>
    </row>
    <row r="47" spans="1:5" x14ac:dyDescent="0.25">
      <c r="A47" t="s">
        <v>89</v>
      </c>
      <c r="B47" s="21">
        <f>CHOOSE(B25,'Design Converter'!H23*10^-9,'Design Converter'!H23*10^-6)</f>
        <v>1.5E-6</v>
      </c>
      <c r="C47" t="s">
        <v>87</v>
      </c>
      <c r="E47" t="s">
        <v>90</v>
      </c>
    </row>
    <row r="48" spans="1:5" x14ac:dyDescent="0.25">
      <c r="A48" t="s">
        <v>91</v>
      </c>
      <c r="B48" s="3">
        <f>'Design Converter'!H24*10^-3</f>
        <v>2.3E-3</v>
      </c>
      <c r="C48" s="2" t="s">
        <v>36</v>
      </c>
      <c r="E48" t="s">
        <v>121</v>
      </c>
    </row>
    <row r="49" spans="1:9" x14ac:dyDescent="0.25">
      <c r="A49" t="s">
        <v>122</v>
      </c>
      <c r="B49" s="12">
        <v>0.2</v>
      </c>
      <c r="C49" s="2"/>
      <c r="E49" t="s">
        <v>123</v>
      </c>
    </row>
    <row r="50" spans="1:9" x14ac:dyDescent="0.25">
      <c r="B50" t="s">
        <v>97</v>
      </c>
    </row>
    <row r="51" spans="1:9" x14ac:dyDescent="0.25">
      <c r="A51" s="31" t="s">
        <v>441</v>
      </c>
    </row>
    <row r="53" spans="1:9" x14ac:dyDescent="0.25">
      <c r="A53" s="22" t="s">
        <v>442</v>
      </c>
    </row>
    <row r="54" spans="1:9" x14ac:dyDescent="0.25">
      <c r="A54" t="s">
        <v>443</v>
      </c>
      <c r="B54">
        <f>IF(B20=3,1,IF((VOUT*IOUT)/(VIN_min*Np)&lt;((VIN_min*(1-(VIN_min/VOUT)))/(2*Lm*Fsw)),0,1))</f>
        <v>1</v>
      </c>
      <c r="E54" t="s">
        <v>534</v>
      </c>
      <c r="I54" s="31"/>
    </row>
    <row r="55" spans="1:9" x14ac:dyDescent="0.25">
      <c r="A55" t="s">
        <v>77</v>
      </c>
      <c r="B55" s="1">
        <f>IF(B54=0,SQRT((2*(IOUT/Np)*Lm*Fsw*(VOUT-VIN_min)/(VIN_min^2))),(1-VIN_min/VOUT))</f>
        <v>0.79439252336448596</v>
      </c>
      <c r="E55" t="s">
        <v>421</v>
      </c>
    </row>
    <row r="56" spans="1:9" x14ac:dyDescent="0.25">
      <c r="B56" s="13">
        <f>B55/Fsw</f>
        <v>7.9439252336448596E-7</v>
      </c>
      <c r="C56" t="s">
        <v>51</v>
      </c>
      <c r="E56" t="s">
        <v>276</v>
      </c>
    </row>
    <row r="57" spans="1:9" x14ac:dyDescent="0.25">
      <c r="A57" t="s">
        <v>82</v>
      </c>
      <c r="B57" s="17">
        <f>(VOUT*IOUT)/(VIN_min)</f>
        <v>29.181818181818183</v>
      </c>
      <c r="C57" t="s">
        <v>11</v>
      </c>
      <c r="E57" t="s">
        <v>84</v>
      </c>
    </row>
    <row r="58" spans="1:9" x14ac:dyDescent="0.25">
      <c r="A58" t="s">
        <v>100</v>
      </c>
      <c r="B58" s="16">
        <f>(VIN_min*Dc_VIN_min)/(Lm*Fsw)</f>
        <v>5.8255451713395638</v>
      </c>
      <c r="C58" t="s">
        <v>11</v>
      </c>
      <c r="E58" t="s">
        <v>101</v>
      </c>
    </row>
    <row r="59" spans="1:9" x14ac:dyDescent="0.25">
      <c r="A59" t="s">
        <v>98</v>
      </c>
      <c r="B59" s="16">
        <f>IF(B54=0,(VIN_min*Dc_VIN_min)/(Lm*Fsw),(IL_avg_VIN_min/EFF_est)+(ILrip_VINmin/2))</f>
        <v>32.094590767487965</v>
      </c>
      <c r="C59" t="s">
        <v>11</v>
      </c>
      <c r="E59" t="s">
        <v>99</v>
      </c>
    </row>
    <row r="61" spans="1:9" x14ac:dyDescent="0.25">
      <c r="A61" s="22" t="s">
        <v>29</v>
      </c>
    </row>
    <row r="62" spans="1:9" x14ac:dyDescent="0.25">
      <c r="A62" t="s">
        <v>444</v>
      </c>
      <c r="B62">
        <f>IF(B20=3,1,IF((VOUT*IOUT)/(VIN_nom*Np)&lt;((VIN_nom*(1-(VIN_nom/VOUT)))/(2*Lm*Fsw)),0,1))</f>
        <v>1</v>
      </c>
      <c r="E62" t="s">
        <v>530</v>
      </c>
    </row>
    <row r="63" spans="1:9" x14ac:dyDescent="0.25">
      <c r="A63" t="s">
        <v>78</v>
      </c>
      <c r="B63" s="1">
        <f>IF(B62=0,SQRT((2*(IOUT/Np)*Lm*Fsw*(VOUT-VIN_nom)/(VIN_nom^2))),(1-VIN_nom/VOUT))</f>
        <v>0.79439252336448596</v>
      </c>
      <c r="E63" t="s">
        <v>422</v>
      </c>
    </row>
    <row r="64" spans="1:9" x14ac:dyDescent="0.25">
      <c r="B64" s="13">
        <f>B63/Fsw</f>
        <v>7.9439252336448596E-7</v>
      </c>
      <c r="C64" t="s">
        <v>51</v>
      </c>
      <c r="E64" t="s">
        <v>276</v>
      </c>
    </row>
    <row r="65" spans="1:5" x14ac:dyDescent="0.25">
      <c r="A65" t="s">
        <v>83</v>
      </c>
      <c r="B65" s="17">
        <f>(VOUT*IOUT)/(VIN_nom)</f>
        <v>29.181818181818183</v>
      </c>
      <c r="C65" t="s">
        <v>11</v>
      </c>
      <c r="E65" t="s">
        <v>85</v>
      </c>
    </row>
    <row r="66" spans="1:5" x14ac:dyDescent="0.25">
      <c r="A66" t="s">
        <v>102</v>
      </c>
      <c r="B66" s="16">
        <f>(VIN_nom*Dc_VIN_nom)/(Lm*Fsw)</f>
        <v>5.8255451713395638</v>
      </c>
      <c r="C66" t="s">
        <v>11</v>
      </c>
      <c r="E66" t="s">
        <v>108</v>
      </c>
    </row>
    <row r="67" spans="1:5" x14ac:dyDescent="0.25">
      <c r="A67" t="s">
        <v>103</v>
      </c>
      <c r="B67" s="16">
        <f>IF(B62=0,(VIN_nom*Dc_VIN_nom)/(Lm*Fsw),(IL_avg_VIN_nom/EFF_est)+(ILrip_VINnom/2))</f>
        <v>32.094590767487965</v>
      </c>
      <c r="C67" t="s">
        <v>11</v>
      </c>
      <c r="E67" t="s">
        <v>109</v>
      </c>
    </row>
    <row r="69" spans="1:5" x14ac:dyDescent="0.25">
      <c r="A69" s="22" t="s">
        <v>30</v>
      </c>
    </row>
    <row r="70" spans="1:5" x14ac:dyDescent="0.25">
      <c r="A70" t="s">
        <v>445</v>
      </c>
      <c r="B70">
        <f>IF(B20=3,1,IF((VOUT*IOUT)/(VIN_max*Np)&lt;((VIN_max*(1-(VIN_max/VOUT)))/(2*Lm*Fsw)),0,1))</f>
        <v>1</v>
      </c>
      <c r="E70" t="s">
        <v>530</v>
      </c>
    </row>
    <row r="71" spans="1:5" x14ac:dyDescent="0.25">
      <c r="A71" t="s">
        <v>79</v>
      </c>
      <c r="B71" s="1">
        <f>IF(B70=0,SQRT((2*(IOUT/Np)*Lm*Fsw*(VOUT-VIN_max)/(VIN_max^2))),(1-VIN_max/VOUT))</f>
        <v>0.58878504672897192</v>
      </c>
      <c r="E71" t="s">
        <v>423</v>
      </c>
    </row>
    <row r="72" spans="1:5" x14ac:dyDescent="0.25">
      <c r="B72" s="13">
        <f>B71/Fsw</f>
        <v>5.8878504672897196E-7</v>
      </c>
      <c r="C72" t="s">
        <v>51</v>
      </c>
      <c r="E72" t="s">
        <v>276</v>
      </c>
    </row>
    <row r="73" spans="1:5" x14ac:dyDescent="0.25">
      <c r="A73" t="s">
        <v>446</v>
      </c>
      <c r="B73" s="17">
        <f>(VOUT*IOUT)/(VIN_max)</f>
        <v>14.590909090909092</v>
      </c>
      <c r="C73" t="s">
        <v>11</v>
      </c>
      <c r="E73" t="s">
        <v>86</v>
      </c>
    </row>
    <row r="74" spans="1:5" x14ac:dyDescent="0.25">
      <c r="A74" t="s">
        <v>104</v>
      </c>
      <c r="B74" s="16">
        <f>(VIN_max*Dc_VIN_max)/(Lm*Fsw)</f>
        <v>8.6355140186915875</v>
      </c>
      <c r="C74" t="s">
        <v>11</v>
      </c>
      <c r="E74" t="s">
        <v>110</v>
      </c>
    </row>
    <row r="75" spans="1:5" x14ac:dyDescent="0.25">
      <c r="A75" t="s">
        <v>105</v>
      </c>
      <c r="B75" s="16">
        <f>IF(B70=0,(VIN_max*Dc_VIN_max)/(Lm*Fsw),(IL_avg_VIN_max/EFF_est)+(ILrip_VINmax/2))</f>
        <v>18.908666100254884</v>
      </c>
      <c r="C75" t="s">
        <v>11</v>
      </c>
      <c r="E75" t="s">
        <v>111</v>
      </c>
    </row>
    <row r="77" spans="1:5" x14ac:dyDescent="0.25">
      <c r="A77" s="19" t="s">
        <v>106</v>
      </c>
    </row>
    <row r="78" spans="1:5" x14ac:dyDescent="0.25">
      <c r="A78" t="s">
        <v>113</v>
      </c>
      <c r="B78" s="3">
        <f>'Design Converter'!H28/100</f>
        <v>0.3</v>
      </c>
      <c r="E78" t="s">
        <v>114</v>
      </c>
    </row>
    <row r="79" spans="1:5" x14ac:dyDescent="0.25">
      <c r="A79" t="s">
        <v>601</v>
      </c>
      <c r="B79" s="12">
        <v>0.95</v>
      </c>
      <c r="E79" t="s">
        <v>602</v>
      </c>
    </row>
    <row r="80" spans="1:5" x14ac:dyDescent="0.25">
      <c r="A80" t="s">
        <v>115</v>
      </c>
      <c r="B80" s="17">
        <f>IF(B54=0,(1+Ipk_margin)*ILp_VINmin,((IL_avg_VIN_min/B79)+(ILrip_VINmin/2))*(1+Ipk_margin))</f>
        <v>43.719618715437704</v>
      </c>
      <c r="C80" t="s">
        <v>11</v>
      </c>
      <c r="E80" t="s">
        <v>116</v>
      </c>
    </row>
    <row r="81" spans="1:11" x14ac:dyDescent="0.25">
      <c r="B81" s="34"/>
    </row>
    <row r="82" spans="1:11" x14ac:dyDescent="0.25">
      <c r="A82" t="s">
        <v>126</v>
      </c>
      <c r="B82" s="12">
        <v>0.66600000000000004</v>
      </c>
      <c r="E82" t="s">
        <v>535</v>
      </c>
    </row>
    <row r="83" spans="1:11" x14ac:dyDescent="0.25">
      <c r="A83" t="s">
        <v>124</v>
      </c>
      <c r="B83" s="23">
        <f>IF(OR(Dc_VIN_min&lt;0.5,B54=0),1000,(Lm*Vsl*Fsw)/(B82*(VOUT-VIN_min)))</f>
        <v>2.3847376788553257E-3</v>
      </c>
      <c r="C83" s="2" t="s">
        <v>36</v>
      </c>
      <c r="E83" t="s">
        <v>125</v>
      </c>
    </row>
    <row r="84" spans="1:11" x14ac:dyDescent="0.25">
      <c r="A84" t="s">
        <v>131</v>
      </c>
      <c r="B84" s="23">
        <f>Vcl/Ipk_selected</f>
        <v>1.3723815935021771E-3</v>
      </c>
      <c r="C84" s="2" t="s">
        <v>36</v>
      </c>
      <c r="E84" t="s">
        <v>492</v>
      </c>
    </row>
    <row r="86" spans="1:11" x14ac:dyDescent="0.25">
      <c r="A86" t="s">
        <v>134</v>
      </c>
      <c r="B86" s="1">
        <f>IF(Rcs_wo_sl&gt;Rcs_max,1,0)</f>
        <v>0</v>
      </c>
      <c r="E86" t="s">
        <v>448</v>
      </c>
    </row>
    <row r="87" spans="1:11" x14ac:dyDescent="0.25">
      <c r="A87" t="s">
        <v>135</v>
      </c>
      <c r="B87" s="25">
        <f>IF(B54=0,Rcs_wo_sl,IF(B86=0,Rcs_wo_sl,Rcs_w_sl))</f>
        <v>1.3723815935021771E-3</v>
      </c>
      <c r="C87" s="2" t="s">
        <v>36</v>
      </c>
      <c r="E87" t="s">
        <v>447</v>
      </c>
    </row>
    <row r="88" spans="1:11" x14ac:dyDescent="0.25">
      <c r="A88" t="s">
        <v>136</v>
      </c>
      <c r="B88" s="1">
        <v>0</v>
      </c>
      <c r="C88" s="2" t="s">
        <v>36</v>
      </c>
      <c r="E88" t="s">
        <v>536</v>
      </c>
    </row>
    <row r="90" spans="1:11" x14ac:dyDescent="0.25">
      <c r="A90" t="s">
        <v>137</v>
      </c>
      <c r="B90" s="26">
        <f>'Design Converter'!H31/1000</f>
        <v>1.5E-3</v>
      </c>
      <c r="C90" s="2" t="s">
        <v>36</v>
      </c>
      <c r="E90" t="s">
        <v>139</v>
      </c>
    </row>
    <row r="91" spans="1:11" x14ac:dyDescent="0.25">
      <c r="A91" t="s">
        <v>138</v>
      </c>
      <c r="B91" s="3">
        <v>0</v>
      </c>
      <c r="C91" s="2" t="s">
        <v>36</v>
      </c>
      <c r="E91" t="s">
        <v>537</v>
      </c>
    </row>
    <row r="93" spans="1:11" x14ac:dyDescent="0.25">
      <c r="A93" t="s">
        <v>142</v>
      </c>
      <c r="B93">
        <f>(Vsl*Fsw)/(((VOUT-VIN_min)/Lm)*R_cs)</f>
        <v>1.0588235294117647</v>
      </c>
      <c r="C93" t="s">
        <v>150</v>
      </c>
      <c r="E93" t="s">
        <v>140</v>
      </c>
      <c r="K93">
        <f>IF(B62=0,0,IF(B93&lt;0.5,1,0))</f>
        <v>0</v>
      </c>
    </row>
    <row r="94" spans="1:11" x14ac:dyDescent="0.25">
      <c r="A94" t="s">
        <v>144</v>
      </c>
      <c r="B94" s="17">
        <f>(Vcl-(Isl*R_sl*Dc_VIN_min))/R_cs</f>
        <v>40</v>
      </c>
      <c r="C94" t="s">
        <v>11</v>
      </c>
      <c r="E94" t="s">
        <v>146</v>
      </c>
      <c r="K94">
        <f>IF(IL_pk&lt;Ipk_selected,1,0)</f>
        <v>1</v>
      </c>
    </row>
    <row r="95" spans="1:11" x14ac:dyDescent="0.25">
      <c r="A95" t="s">
        <v>145</v>
      </c>
      <c r="B95" s="17">
        <f>(Vcl-(Isl*R_sl*Dc_VIN_max))/R_cs</f>
        <v>40</v>
      </c>
      <c r="C95" t="s">
        <v>11</v>
      </c>
      <c r="E95" t="s">
        <v>147</v>
      </c>
    </row>
    <row r="96" spans="1:11" x14ac:dyDescent="0.25">
      <c r="A96" t="s">
        <v>148</v>
      </c>
      <c r="B96" s="12">
        <f>0.15</f>
        <v>0.15</v>
      </c>
      <c r="E96" t="s">
        <v>149</v>
      </c>
    </row>
    <row r="97" spans="1:5" x14ac:dyDescent="0.25">
      <c r="A97" t="s">
        <v>151</v>
      </c>
      <c r="B97" s="20">
        <f>(1+B96)*B95</f>
        <v>46</v>
      </c>
      <c r="C97" t="s">
        <v>11</v>
      </c>
      <c r="E97" t="s">
        <v>152</v>
      </c>
    </row>
    <row r="99" spans="1:5" x14ac:dyDescent="0.25">
      <c r="A99" s="22" t="s">
        <v>153</v>
      </c>
      <c r="E99" t="s">
        <v>538</v>
      </c>
    </row>
    <row r="102" spans="1:5" x14ac:dyDescent="0.25">
      <c r="A102" s="28" t="s">
        <v>154</v>
      </c>
      <c r="E102" t="s">
        <v>549</v>
      </c>
    </row>
    <row r="104" spans="1:5" x14ac:dyDescent="0.25">
      <c r="A104" t="s">
        <v>449</v>
      </c>
      <c r="B104" s="1">
        <f>IF(B54=0,2*Fsw/(Dc_VIN_min*5),(VOUT/IOUT)*((VIN_min^2)/VOUT^2)/(Lm*5))</f>
        <v>50259.605399792315</v>
      </c>
      <c r="C104" t="s">
        <v>489</v>
      </c>
      <c r="E104" t="s">
        <v>540</v>
      </c>
    </row>
    <row r="105" spans="1:5" x14ac:dyDescent="0.25">
      <c r="B105">
        <f>B104/(2*PI())</f>
        <v>7999.0646372250621</v>
      </c>
      <c r="C105" t="s">
        <v>65</v>
      </c>
    </row>
    <row r="106" spans="1:5" x14ac:dyDescent="0.25">
      <c r="A106" t="s">
        <v>160</v>
      </c>
      <c r="B106" s="29">
        <f>'Design Converter'!H35/1000</f>
        <v>0.05</v>
      </c>
      <c r="C106" t="s">
        <v>10</v>
      </c>
      <c r="E106" t="s">
        <v>159</v>
      </c>
    </row>
    <row r="107" spans="1:5" x14ac:dyDescent="0.25">
      <c r="A107" t="s">
        <v>450</v>
      </c>
      <c r="B107" s="1">
        <f>IOUT-0.5*IOUT</f>
        <v>3</v>
      </c>
      <c r="C107" t="s">
        <v>11</v>
      </c>
    </row>
    <row r="108" spans="1:5" x14ac:dyDescent="0.25">
      <c r="A108" t="s">
        <v>161</v>
      </c>
      <c r="B108" s="1">
        <f>B107/(Vout_rip_sel*B104)</f>
        <v>1.193801652892562E-3</v>
      </c>
      <c r="C108" t="s">
        <v>162</v>
      </c>
      <c r="E108" t="s">
        <v>163</v>
      </c>
    </row>
    <row r="109" spans="1:5" x14ac:dyDescent="0.25">
      <c r="A109" t="s">
        <v>164</v>
      </c>
      <c r="B109" s="165">
        <f>SQRT((1-Dc_VIN_min)*((IOUT^2)*(Dc_VIN_min/((1-Dc_VIN_min)^2))+((ILrip_VINmin^2)/3)))</f>
        <v>11.891879910039979</v>
      </c>
      <c r="C109" t="s">
        <v>11</v>
      </c>
      <c r="E109" s="31" t="s">
        <v>541</v>
      </c>
    </row>
    <row r="110" spans="1:5" x14ac:dyDescent="0.25">
      <c r="A110" t="s">
        <v>169</v>
      </c>
      <c r="B110" s="3">
        <f>'Design Converter'!H37*(10^-6)</f>
        <v>1.1199999999999999E-3</v>
      </c>
      <c r="C110" t="s">
        <v>162</v>
      </c>
      <c r="E110" t="s">
        <v>167</v>
      </c>
    </row>
    <row r="111" spans="1:5" x14ac:dyDescent="0.25">
      <c r="A111" t="s">
        <v>166</v>
      </c>
      <c r="B111" s="3">
        <f>'Design Converter'!H38/1000</f>
        <v>1.35E-2</v>
      </c>
      <c r="C111" s="2" t="s">
        <v>36</v>
      </c>
      <c r="E111" t="s">
        <v>168</v>
      </c>
    </row>
    <row r="112" spans="1:5" x14ac:dyDescent="0.25">
      <c r="A112" t="s">
        <v>274</v>
      </c>
      <c r="B112" s="166">
        <f>SQRT((IOUT^2)+(IL_avg_VIN_min^2)-(2*IOUT*IL_avg_VIN_min)-(2*Dc_VIN_min*(IOUT^2))-(Dc_VIN_min*(IL_avg_VIN_min^2))+(2*Dc_VIN_min*IOUT*IL_avg_VIN_min))</f>
        <v>9.0495661447754525</v>
      </c>
      <c r="E112" s="164" t="s">
        <v>275</v>
      </c>
    </row>
    <row r="113" spans="1:7" x14ac:dyDescent="0.25">
      <c r="E113" s="72"/>
    </row>
    <row r="115" spans="1:7" x14ac:dyDescent="0.25">
      <c r="A115" s="28" t="s">
        <v>292</v>
      </c>
    </row>
    <row r="116" spans="1:7" x14ac:dyDescent="0.25">
      <c r="A116" t="s">
        <v>278</v>
      </c>
      <c r="B116" s="12">
        <f>Iss</f>
        <v>1.9999999999999998E-5</v>
      </c>
      <c r="C116" t="s">
        <v>11</v>
      </c>
      <c r="E116" t="s">
        <v>280</v>
      </c>
    </row>
    <row r="117" spans="1:7" x14ac:dyDescent="0.25">
      <c r="A117" t="s">
        <v>281</v>
      </c>
      <c r="B117" s="1">
        <f>Iss*VOUT*Cout/(Vref*IOUT)</f>
        <v>1.997333333333333E-7</v>
      </c>
      <c r="C117" t="s">
        <v>162</v>
      </c>
      <c r="E117" t="s">
        <v>282</v>
      </c>
    </row>
    <row r="118" spans="1:7" x14ac:dyDescent="0.25">
      <c r="A118" t="s">
        <v>283</v>
      </c>
      <c r="B118" s="3">
        <f>'Design Converter'!H42*(10^-3)</f>
        <v>0.01</v>
      </c>
      <c r="C118" t="s">
        <v>51</v>
      </c>
      <c r="E118" t="s">
        <v>284</v>
      </c>
    </row>
    <row r="119" spans="1:7" x14ac:dyDescent="0.25">
      <c r="A119" t="s">
        <v>287</v>
      </c>
      <c r="B119" s="1">
        <f>(tss*Iss)/(Vref*(1-(VIN_min/VOUT)))</f>
        <v>2.5176470588235294E-7</v>
      </c>
      <c r="C119" t="s">
        <v>162</v>
      </c>
      <c r="E119" t="s">
        <v>288</v>
      </c>
    </row>
    <row r="121" spans="1:7" x14ac:dyDescent="0.25">
      <c r="A121" s="28" t="s">
        <v>291</v>
      </c>
    </row>
    <row r="122" spans="1:7" x14ac:dyDescent="0.25">
      <c r="A122" t="s">
        <v>293</v>
      </c>
      <c r="B122" s="3">
        <f>'Design Converter'!H46</f>
        <v>10.5</v>
      </c>
      <c r="C122" t="s">
        <v>10</v>
      </c>
      <c r="E122" t="s">
        <v>295</v>
      </c>
      <c r="G122" s="31"/>
    </row>
    <row r="123" spans="1:7" x14ac:dyDescent="0.25">
      <c r="A123" t="s">
        <v>294</v>
      </c>
      <c r="B123" s="3">
        <f>'Design Converter'!H47</f>
        <v>9.5</v>
      </c>
      <c r="C123" t="s">
        <v>10</v>
      </c>
      <c r="E123" t="s">
        <v>296</v>
      </c>
    </row>
    <row r="124" spans="1:7" x14ac:dyDescent="0.25">
      <c r="A124" t="s">
        <v>298</v>
      </c>
      <c r="B124" s="12">
        <f>UV_rise</f>
        <v>1.1000000000000001</v>
      </c>
      <c r="C124" t="s">
        <v>10</v>
      </c>
      <c r="E124" t="s">
        <v>303</v>
      </c>
    </row>
    <row r="125" spans="1:7" x14ac:dyDescent="0.25">
      <c r="A125" t="s">
        <v>299</v>
      </c>
      <c r="B125" s="12">
        <f>UV_fall</f>
        <v>1.075</v>
      </c>
      <c r="C125" t="s">
        <v>10</v>
      </c>
      <c r="E125" t="s">
        <v>302</v>
      </c>
    </row>
    <row r="126" spans="1:7" x14ac:dyDescent="0.25">
      <c r="A126" t="s">
        <v>304</v>
      </c>
      <c r="B126" s="12">
        <f>UV_I_hyst</f>
        <v>9.9999999999999991E-6</v>
      </c>
      <c r="C126" t="s">
        <v>11</v>
      </c>
      <c r="E126" t="s">
        <v>306</v>
      </c>
      <c r="G126" s="168">
        <f>(Vuvlo_on*0.977)-Vuvlo_off</f>
        <v>0.75849999999999973</v>
      </c>
    </row>
    <row r="127" spans="1:7" x14ac:dyDescent="0.25">
      <c r="A127" t="s">
        <v>307</v>
      </c>
      <c r="B127" s="16">
        <f>((Vuvlo_on*(UV_fall/UV_rise))-Vuvlo_off)/UV_I_hyst</f>
        <v>76136.363636363501</v>
      </c>
      <c r="C127" s="2" t="s">
        <v>36</v>
      </c>
      <c r="E127" t="s">
        <v>394</v>
      </c>
      <c r="G127" s="20">
        <f>B125/B124</f>
        <v>0.97727272727272718</v>
      </c>
    </row>
    <row r="128" spans="1:7" x14ac:dyDescent="0.25">
      <c r="A128" t="s">
        <v>307</v>
      </c>
      <c r="B128" s="3">
        <f>'Design Converter'!H49*1000</f>
        <v>76800</v>
      </c>
      <c r="C128" s="2" t="s">
        <v>36</v>
      </c>
      <c r="E128" t="s">
        <v>395</v>
      </c>
    </row>
    <row r="129" spans="1:7" x14ac:dyDescent="0.25">
      <c r="A129" t="s">
        <v>308</v>
      </c>
      <c r="B129" s="18">
        <f>UV_rise*Ruvlo_top/(Vuvlo_on-UV_rise)</f>
        <v>8987.2340425531911</v>
      </c>
      <c r="C129" s="2" t="s">
        <v>36</v>
      </c>
      <c r="E129" t="s">
        <v>396</v>
      </c>
    </row>
    <row r="130" spans="1:7" x14ac:dyDescent="0.25">
      <c r="A130" t="s">
        <v>309</v>
      </c>
      <c r="B130" s="34">
        <f>UV_rise*(Ruvlo_top+B132)/B132</f>
        <v>10.624239007891772</v>
      </c>
      <c r="E130" t="s">
        <v>311</v>
      </c>
    </row>
    <row r="131" spans="1:7" x14ac:dyDescent="0.25">
      <c r="A131" t="s">
        <v>310</v>
      </c>
      <c r="B131" s="34">
        <f>Ruvlo_top*((UV_fall/Ruvlo_top)-(UV_I_hyst)+(UV_fall/B132))</f>
        <v>9.614779030439685</v>
      </c>
      <c r="E131" t="s">
        <v>312</v>
      </c>
      <c r="G131" s="31"/>
    </row>
    <row r="132" spans="1:7" x14ac:dyDescent="0.25">
      <c r="A132" t="s">
        <v>610</v>
      </c>
      <c r="B132">
        <v>8870</v>
      </c>
    </row>
    <row r="134" spans="1:7" x14ac:dyDescent="0.25">
      <c r="A134" s="28" t="s">
        <v>171</v>
      </c>
    </row>
    <row r="135" spans="1:7" x14ac:dyDescent="0.25">
      <c r="A135" s="32" t="s">
        <v>197</v>
      </c>
      <c r="B135" s="3" t="str">
        <f>'Design Converter'!H54</f>
        <v>11V</v>
      </c>
      <c r="C135" t="s">
        <v>10</v>
      </c>
      <c r="E135" t="s">
        <v>238</v>
      </c>
    </row>
    <row r="136" spans="1:7" x14ac:dyDescent="0.25">
      <c r="A136" s="32"/>
    </row>
    <row r="137" spans="1:7" x14ac:dyDescent="0.25">
      <c r="A137" s="31" t="s">
        <v>252</v>
      </c>
    </row>
    <row r="138" spans="1:7" x14ac:dyDescent="0.25">
      <c r="A138" t="s">
        <v>550</v>
      </c>
      <c r="B138">
        <f>VOUT_range</f>
        <v>2</v>
      </c>
      <c r="E138" t="s">
        <v>520</v>
      </c>
    </row>
    <row r="139" spans="1:7" x14ac:dyDescent="0.25">
      <c r="A139" t="s">
        <v>551</v>
      </c>
      <c r="B139">
        <f>CHOOSE(VOUT_range,Kfb_low,Kfb_high)</f>
        <v>60</v>
      </c>
      <c r="C139" t="s">
        <v>150</v>
      </c>
    </row>
    <row r="140" spans="1:7" x14ac:dyDescent="0.25">
      <c r="A140" t="s">
        <v>558</v>
      </c>
      <c r="B140">
        <f>CHOOSE(VOUT_range,Rmax_low,Rmax_high)</f>
        <v>35000</v>
      </c>
      <c r="C140" t="s">
        <v>469</v>
      </c>
    </row>
    <row r="141" spans="1:7" x14ac:dyDescent="0.25">
      <c r="A141" t="s">
        <v>559</v>
      </c>
      <c r="B141">
        <f>CHOOSE(VOUT_range,Rmin_low,Rmin_high)</f>
        <v>20000</v>
      </c>
      <c r="C141" t="s">
        <v>469</v>
      </c>
    </row>
    <row r="142" spans="1:7" x14ac:dyDescent="0.25">
      <c r="A142" t="s">
        <v>562</v>
      </c>
      <c r="B142" s="1">
        <f>VOUT/Kfb</f>
        <v>0.89166666666666672</v>
      </c>
      <c r="C142" t="s">
        <v>10</v>
      </c>
      <c r="E142" t="s">
        <v>563</v>
      </c>
    </row>
    <row r="143" spans="1:7" x14ac:dyDescent="0.25">
      <c r="A143" t="s">
        <v>560</v>
      </c>
      <c r="B143" s="1">
        <f>((Vref*Rmax)-(VTRK*Rmax))/Vref</f>
        <v>3791.6666666666642</v>
      </c>
      <c r="E143">
        <f>Vref</f>
        <v>1</v>
      </c>
    </row>
    <row r="144" spans="1:7" x14ac:dyDescent="0.25">
      <c r="A144" t="s">
        <v>561</v>
      </c>
      <c r="B144" s="1">
        <f>((Vref*Rmin)-(VTRK*Rmin))/Vref</f>
        <v>2166.6666666666642</v>
      </c>
    </row>
    <row r="145" spans="1:5" x14ac:dyDescent="0.25">
      <c r="A145" t="s">
        <v>189</v>
      </c>
      <c r="B145" s="3">
        <f>'Design Converter'!H60*(10^3)</f>
        <v>3740</v>
      </c>
      <c r="C145" s="2" t="s">
        <v>36</v>
      </c>
      <c r="E145" t="s">
        <v>239</v>
      </c>
    </row>
    <row r="146" spans="1:5" x14ac:dyDescent="0.25">
      <c r="A146" t="s">
        <v>243</v>
      </c>
      <c r="B146" s="18">
        <f>RFBT/((Vref/VTRK)-1)</f>
        <v>30783.076923076947</v>
      </c>
      <c r="C146" s="2" t="s">
        <v>36</v>
      </c>
      <c r="E146" t="s">
        <v>246</v>
      </c>
    </row>
    <row r="147" spans="1:5" x14ac:dyDescent="0.25">
      <c r="A147" t="s">
        <v>190</v>
      </c>
      <c r="B147" s="3">
        <f>'Design Converter'!H62*(10^3)</f>
        <v>30900</v>
      </c>
      <c r="C147" s="2" t="s">
        <v>36</v>
      </c>
      <c r="E147" t="s">
        <v>247</v>
      </c>
    </row>
    <row r="148" spans="1:5" x14ac:dyDescent="0.25">
      <c r="A148" t="s">
        <v>248</v>
      </c>
      <c r="B148">
        <f>VOUT/(RFBB+RFBT)</f>
        <v>1.5444572748267897E-3</v>
      </c>
      <c r="C148" s="2" t="s">
        <v>11</v>
      </c>
      <c r="E148" t="s">
        <v>567</v>
      </c>
    </row>
    <row r="149" spans="1:5" x14ac:dyDescent="0.25">
      <c r="C149" s="2"/>
    </row>
    <row r="150" spans="1:5" x14ac:dyDescent="0.25">
      <c r="A150" s="31" t="s">
        <v>253</v>
      </c>
      <c r="E150" t="s">
        <v>388</v>
      </c>
    </row>
    <row r="152" spans="1:5" x14ac:dyDescent="0.25">
      <c r="A152" s="22" t="s">
        <v>452</v>
      </c>
      <c r="E152" t="s">
        <v>504</v>
      </c>
    </row>
    <row r="153" spans="1:5" x14ac:dyDescent="0.25">
      <c r="A153" s="22"/>
    </row>
    <row r="154" spans="1:5" x14ac:dyDescent="0.25">
      <c r="A154" t="s">
        <v>501</v>
      </c>
      <c r="B154" s="20">
        <f>(R_cs*Acs/(2*Lm*Fsw))*(1-(VIN_min/VOUT))*(VIN_min/VOUT)</f>
        <v>8.1666521093545286E-4</v>
      </c>
      <c r="E154" t="s">
        <v>497</v>
      </c>
    </row>
    <row r="155" spans="1:5" x14ac:dyDescent="0.25">
      <c r="A155" t="s">
        <v>502</v>
      </c>
      <c r="B155" s="20">
        <f>1/((0.5-(1-(VIN_min/VOUT)))*(R_cs*Acs/(Lm*Fsw))+(Vsl*Acs/VOUT))</f>
        <v>182.90598290598294</v>
      </c>
      <c r="E155" t="s">
        <v>497</v>
      </c>
    </row>
    <row r="156" spans="1:5" x14ac:dyDescent="0.25">
      <c r="A156" t="s">
        <v>503</v>
      </c>
      <c r="B156" s="20">
        <f>2+((VOUT*((VIN_min/VOUT)^2))/(IOUT*R_cs*Acs))*((1/Km_VINmin)+(Kex_VINmin/(VIN_min/VOUT)))</f>
        <v>2.2372065488494872</v>
      </c>
      <c r="E156" t="s">
        <v>497</v>
      </c>
    </row>
    <row r="157" spans="1:5" x14ac:dyDescent="0.25">
      <c r="A157" s="22"/>
      <c r="B157" s="20"/>
    </row>
    <row r="158" spans="1:5" x14ac:dyDescent="0.25">
      <c r="A158" s="22"/>
      <c r="B158" s="20"/>
    </row>
    <row r="159" spans="1:5" x14ac:dyDescent="0.25">
      <c r="A159" s="22"/>
      <c r="B159" s="20"/>
    </row>
    <row r="160" spans="1:5" x14ac:dyDescent="0.25">
      <c r="A160" t="s">
        <v>398</v>
      </c>
      <c r="B160" s="20">
        <f>(Gcomp*(VIN_min/VOUT)*(VOUT/IOUT))/(Kd_VINmin*R_cs*Acs/Np)</f>
        <v>54.631621870174037</v>
      </c>
    </row>
    <row r="161" spans="1:5" x14ac:dyDescent="0.25">
      <c r="B161" s="20"/>
    </row>
    <row r="162" spans="1:5" x14ac:dyDescent="0.25">
      <c r="A162" t="s">
        <v>399</v>
      </c>
      <c r="B162" s="20">
        <f>Kd_VINmin/(Cout*(VOUT/IOUT))</f>
        <v>224.01934734807955</v>
      </c>
      <c r="C162" t="s">
        <v>385</v>
      </c>
      <c r="E162" t="s">
        <v>384</v>
      </c>
    </row>
    <row r="163" spans="1:5" x14ac:dyDescent="0.25">
      <c r="A163" t="s">
        <v>400</v>
      </c>
      <c r="B163" s="20">
        <f>B162/(2*PI())</f>
        <v>35.653786478667136</v>
      </c>
      <c r="C163" t="s">
        <v>65</v>
      </c>
      <c r="E163" t="s">
        <v>249</v>
      </c>
    </row>
    <row r="164" spans="1:5" x14ac:dyDescent="0.25">
      <c r="B164" s="20"/>
    </row>
    <row r="165" spans="1:5" x14ac:dyDescent="0.25">
      <c r="A165" t="s">
        <v>401</v>
      </c>
      <c r="B165" s="20">
        <f>1/(Cout*Resr)</f>
        <v>66137.566137566144</v>
      </c>
      <c r="C165" t="s">
        <v>386</v>
      </c>
      <c r="E165" t="s">
        <v>387</v>
      </c>
    </row>
    <row r="166" spans="1:5" x14ac:dyDescent="0.25">
      <c r="A166" t="s">
        <v>402</v>
      </c>
      <c r="B166" s="20">
        <f>B165/(2*PI())</f>
        <v>10526.120574860804</v>
      </c>
      <c r="C166" t="s">
        <v>65</v>
      </c>
      <c r="E166" t="s">
        <v>251</v>
      </c>
    </row>
    <row r="167" spans="1:5" x14ac:dyDescent="0.25">
      <c r="B167" s="20"/>
    </row>
    <row r="168" spans="1:5" x14ac:dyDescent="0.25">
      <c r="A168" t="s">
        <v>403</v>
      </c>
      <c r="B168" s="20">
        <f>((VOUT/IOUT)*((VIN_min/VOUT)^2))/(Lm)</f>
        <v>251298.02699896158</v>
      </c>
      <c r="E168" t="s">
        <v>383</v>
      </c>
    </row>
    <row r="169" spans="1:5" x14ac:dyDescent="0.25">
      <c r="A169" t="s">
        <v>404</v>
      </c>
      <c r="B169" s="20">
        <f>B168/(2*PI())</f>
        <v>39995.323186125308</v>
      </c>
      <c r="C169" t="s">
        <v>65</v>
      </c>
      <c r="E169" t="s">
        <v>250</v>
      </c>
    </row>
    <row r="170" spans="1:5" x14ac:dyDescent="0.25">
      <c r="B170" s="20">
        <f>Fsw/10</f>
        <v>100000</v>
      </c>
      <c r="C170" t="s">
        <v>65</v>
      </c>
      <c r="E170" t="s">
        <v>256</v>
      </c>
    </row>
    <row r="171" spans="1:5" x14ac:dyDescent="0.25">
      <c r="B171" s="30">
        <f>IF((B169/5)&lt;(B170),0,1)</f>
        <v>0</v>
      </c>
      <c r="E171" t="s">
        <v>257</v>
      </c>
    </row>
    <row r="172" spans="1:5" x14ac:dyDescent="0.25">
      <c r="B172" s="20"/>
    </row>
    <row r="173" spans="1:5" x14ac:dyDescent="0.25">
      <c r="A173" t="s">
        <v>405</v>
      </c>
      <c r="B173" s="20">
        <f>(Vsl*Fsw)</f>
        <v>45000</v>
      </c>
      <c r="C173" t="s">
        <v>150</v>
      </c>
      <c r="E173" t="s">
        <v>505</v>
      </c>
    </row>
    <row r="174" spans="1:5" x14ac:dyDescent="0.25">
      <c r="A174" t="s">
        <v>406</v>
      </c>
      <c r="B174" s="20">
        <f>(R_cs*VIN_min)/Lm</f>
        <v>11000</v>
      </c>
      <c r="C174" t="s">
        <v>150</v>
      </c>
      <c r="E174" t="s">
        <v>214</v>
      </c>
    </row>
    <row r="175" spans="1:5" x14ac:dyDescent="0.25">
      <c r="B175" s="20"/>
    </row>
    <row r="176" spans="1:5" x14ac:dyDescent="0.25">
      <c r="A176" t="s">
        <v>407</v>
      </c>
      <c r="B176" s="20">
        <f>2*PI()*Fsw</f>
        <v>6283185.307179586</v>
      </c>
      <c r="C176" t="s">
        <v>216</v>
      </c>
      <c r="E176" t="s">
        <v>498</v>
      </c>
    </row>
    <row r="177" spans="1:5" x14ac:dyDescent="0.25">
      <c r="A177" t="s">
        <v>408</v>
      </c>
      <c r="B177" s="20">
        <f>1/(PI()*(((VIN_min/VOUT)*(1+(B173/B174)))-0.5))</f>
        <v>0.58220782601137799</v>
      </c>
      <c r="E177" t="s">
        <v>499</v>
      </c>
    </row>
    <row r="178" spans="1:5" x14ac:dyDescent="0.25">
      <c r="B178" s="20"/>
    </row>
    <row r="179" spans="1:5" x14ac:dyDescent="0.25">
      <c r="A179" t="s">
        <v>254</v>
      </c>
      <c r="B179" s="20">
        <f>IF(B171=0,fz_rhp/5,Fsw/10)</f>
        <v>7999.0646372250612</v>
      </c>
      <c r="C179" t="s">
        <v>65</v>
      </c>
      <c r="E179" t="s">
        <v>464</v>
      </c>
    </row>
    <row r="180" spans="1:5" x14ac:dyDescent="0.25">
      <c r="B180" s="29">
        <f>fcross</f>
        <v>10000</v>
      </c>
      <c r="C180" t="s">
        <v>539</v>
      </c>
      <c r="E180" t="s">
        <v>570</v>
      </c>
    </row>
    <row r="181" spans="1:5" x14ac:dyDescent="0.25">
      <c r="A181" t="s">
        <v>261</v>
      </c>
      <c r="B181" s="51">
        <f>SQRT(B163*fcross)</f>
        <v>597.10791720313955</v>
      </c>
      <c r="C181" t="s">
        <v>65</v>
      </c>
      <c r="E181" t="s">
        <v>490</v>
      </c>
    </row>
    <row r="182" spans="1:5" x14ac:dyDescent="0.25">
      <c r="A182" t="s">
        <v>263</v>
      </c>
      <c r="B182" s="30">
        <f>SQRT(fz_rhp*Fsw/2)</f>
        <v>141413.08847862229</v>
      </c>
      <c r="C182" t="s">
        <v>65</v>
      </c>
      <c r="E182" t="s">
        <v>417</v>
      </c>
    </row>
    <row r="184" spans="1:5" x14ac:dyDescent="0.25">
      <c r="A184" t="s">
        <v>509</v>
      </c>
      <c r="B184" s="20">
        <f>10^(-Loop_Modeling!AD7/20)</f>
        <v>3.6116191316729007</v>
      </c>
    </row>
    <row r="185" spans="1:5" x14ac:dyDescent="0.25">
      <c r="A185" t="s">
        <v>507</v>
      </c>
      <c r="B185" s="20">
        <f>SQRT(1+((B179/fp_ea_est)^2))</f>
        <v>1.0015985352699404</v>
      </c>
    </row>
    <row r="186" spans="1:5" x14ac:dyDescent="0.25">
      <c r="A186" t="s">
        <v>508</v>
      </c>
      <c r="B186" s="20">
        <f>SQRT(1+(fz_ea_est/B179)^2)</f>
        <v>1.002782233124363</v>
      </c>
    </row>
    <row r="188" spans="1:5" x14ac:dyDescent="0.25">
      <c r="A188" t="s">
        <v>472</v>
      </c>
      <c r="B188" s="17">
        <f>(fp_ea_est*B184*Kfb)/((fp_ea_est-fz_ea_est)*gm_ea)*(B185/B186)</f>
        <v>217359.14099673679</v>
      </c>
      <c r="C188" s="2" t="s">
        <v>36</v>
      </c>
      <c r="E188" s="31" t="s">
        <v>506</v>
      </c>
    </row>
    <row r="189" spans="1:5" x14ac:dyDescent="0.25">
      <c r="A189" t="s">
        <v>473</v>
      </c>
      <c r="B189" s="155">
        <f>1/(2*PI()*fz_ea_est*Rcomp_calc_CCM)</f>
        <v>1.2262792876638783E-9</v>
      </c>
      <c r="C189" s="2" t="s">
        <v>162</v>
      </c>
    </row>
    <row r="190" spans="1:5" x14ac:dyDescent="0.25">
      <c r="A190" t="s">
        <v>474</v>
      </c>
      <c r="B190" s="155">
        <f>((gm_ea)/(2*PI()*fp_ea_est*B184*Kfb))*(B186/B185)</f>
        <v>5.1998435720650176E-12</v>
      </c>
      <c r="C190" t="s">
        <v>162</v>
      </c>
    </row>
    <row r="193" spans="1:5" x14ac:dyDescent="0.25">
      <c r="A193" s="22" t="s">
        <v>453</v>
      </c>
      <c r="E193" s="31"/>
    </row>
    <row r="195" spans="1:5" x14ac:dyDescent="0.25">
      <c r="A195" t="s">
        <v>459</v>
      </c>
      <c r="B195">
        <f>Fsw/((R_cs*Acs*(VIN_min/Lm))+((R_sl+Rsl_int)*Isl))</f>
        <v>9.0909016528986495</v>
      </c>
      <c r="C195" t="s">
        <v>150</v>
      </c>
      <c r="E195" t="s">
        <v>479</v>
      </c>
    </row>
    <row r="196" spans="1:5" x14ac:dyDescent="0.25">
      <c r="A196" t="s">
        <v>458</v>
      </c>
      <c r="B196">
        <f>(B195*2*VOUT/Dc_VIN_min)*(((VOUT/VIN_min)-1)/((2*VOUT/VIN_min)-1))</f>
        <v>542.09235950019081</v>
      </c>
      <c r="C196" t="s">
        <v>150</v>
      </c>
    </row>
    <row r="197" spans="1:5" x14ac:dyDescent="0.25">
      <c r="A197" t="s">
        <v>460</v>
      </c>
      <c r="B197">
        <f>(IOUT*((2*VOUT)-VIN_min))/(Cout*VOUT*(VOUT-VIN_min))</f>
        <v>226.18393151653186</v>
      </c>
      <c r="C197" t="s">
        <v>385</v>
      </c>
    </row>
    <row r="198" spans="1:5" x14ac:dyDescent="0.25">
      <c r="B198">
        <f>B197/(2*PI())</f>
        <v>35.998290748814782</v>
      </c>
      <c r="C198" t="s">
        <v>65</v>
      </c>
    </row>
    <row r="199" spans="1:5" x14ac:dyDescent="0.25">
      <c r="A199" t="s">
        <v>461</v>
      </c>
      <c r="B199">
        <f>1/(Cout*Resr)</f>
        <v>66137.566137566144</v>
      </c>
      <c r="C199" t="s">
        <v>385</v>
      </c>
    </row>
    <row r="200" spans="1:5" x14ac:dyDescent="0.25">
      <c r="B200">
        <f>B199/(2*PI())</f>
        <v>10526.120574860804</v>
      </c>
      <c r="C200" t="s">
        <v>65</v>
      </c>
    </row>
    <row r="201" spans="1:5" x14ac:dyDescent="0.25">
      <c r="A201" t="s">
        <v>462</v>
      </c>
      <c r="B201">
        <f>2*Fsw/(Dc_VIN_min)</f>
        <v>2517647.0588235296</v>
      </c>
      <c r="C201" t="s">
        <v>385</v>
      </c>
      <c r="E201" t="s">
        <v>478</v>
      </c>
    </row>
    <row r="202" spans="1:5" x14ac:dyDescent="0.25">
      <c r="B202">
        <f>B201/(2*PI())</f>
        <v>400695.97437253653</v>
      </c>
      <c r="C202" t="s">
        <v>65</v>
      </c>
    </row>
    <row r="204" spans="1:5" x14ac:dyDescent="0.25">
      <c r="A204" t="s">
        <v>463</v>
      </c>
      <c r="B204">
        <f>IF(2*Fsw/(2*PI()*Dc_VIN_min*5)&lt;Fsw/10,2*Fsw/(2*PI()*Dc_VIN_min*5),Fsw/10)</f>
        <v>80139.194874507302</v>
      </c>
      <c r="C204" t="s">
        <v>65</v>
      </c>
      <c r="E204" t="s">
        <v>569</v>
      </c>
    </row>
    <row r="205" spans="1:5" x14ac:dyDescent="0.25">
      <c r="B205" s="29">
        <f>fcross</f>
        <v>10000</v>
      </c>
      <c r="C205" t="s">
        <v>539</v>
      </c>
      <c r="E205" t="s">
        <v>570</v>
      </c>
    </row>
    <row r="206" spans="1:5" x14ac:dyDescent="0.25">
      <c r="A206" t="s">
        <v>261</v>
      </c>
      <c r="B206" s="51">
        <f>SQRT(B198*fcross)</f>
        <v>599.98575607104863</v>
      </c>
      <c r="C206" t="s">
        <v>65</v>
      </c>
    </row>
    <row r="207" spans="1:5" x14ac:dyDescent="0.25">
      <c r="A207" t="s">
        <v>263</v>
      </c>
      <c r="B207" s="30">
        <f>Fsw/2</f>
        <v>500000</v>
      </c>
      <c r="C207" t="s">
        <v>65</v>
      </c>
    </row>
    <row r="209" spans="1:5" x14ac:dyDescent="0.25">
      <c r="A209" t="s">
        <v>509</v>
      </c>
      <c r="B209" s="20">
        <f>10^(-Loop_Modeling!AQ7/20)</f>
        <v>1.1722861036640242</v>
      </c>
    </row>
    <row r="210" spans="1:5" x14ac:dyDescent="0.25">
      <c r="A210" t="s">
        <v>507</v>
      </c>
      <c r="B210" s="20">
        <f>SQRT(1+((fcross/B207)^2))</f>
        <v>1.0001999800039989</v>
      </c>
    </row>
    <row r="211" spans="1:5" x14ac:dyDescent="0.25">
      <c r="A211" t="s">
        <v>508</v>
      </c>
      <c r="B211" s="20">
        <f>SQRT(1+(B206/fcross)^2)</f>
        <v>1.001798297600311</v>
      </c>
    </row>
    <row r="214" spans="1:5" x14ac:dyDescent="0.25">
      <c r="A214" t="s">
        <v>466</v>
      </c>
      <c r="B214">
        <f>(B207*B209*Kfb)/((B207-B206)*gm_ea)*(B210/B211)</f>
        <v>70309.316069465</v>
      </c>
      <c r="C214" t="s">
        <v>469</v>
      </c>
      <c r="E214" t="s">
        <v>260</v>
      </c>
    </row>
    <row r="215" spans="1:5" x14ac:dyDescent="0.25">
      <c r="A215" t="s">
        <v>470</v>
      </c>
      <c r="B215">
        <f>1/(2*PI()*B206*RCOMP_CALC_DCM)</f>
        <v>3.7728220193904714E-9</v>
      </c>
      <c r="C215" t="s">
        <v>162</v>
      </c>
      <c r="E215" t="s">
        <v>467</v>
      </c>
    </row>
    <row r="216" spans="1:5" x14ac:dyDescent="0.25">
      <c r="A216" t="s">
        <v>471</v>
      </c>
      <c r="B216">
        <f>((gm_ea)/(2*PI()*B207*Kfb))*(B211/B210)</f>
        <v>5.3136424125735901E-12</v>
      </c>
      <c r="C216" t="s">
        <v>162</v>
      </c>
      <c r="E216" t="s">
        <v>468</v>
      </c>
    </row>
    <row r="217" spans="1:5" ht="16.5" customHeight="1" x14ac:dyDescent="0.25"/>
    <row r="218" spans="1:5" ht="16.5" customHeight="1" x14ac:dyDescent="0.25">
      <c r="A218" s="152" t="s">
        <v>465</v>
      </c>
    </row>
    <row r="219" spans="1:5" x14ac:dyDescent="0.25">
      <c r="B219">
        <f>IF(B54=0,B204,B179)</f>
        <v>7999.0646372250612</v>
      </c>
      <c r="C219" t="s">
        <v>65</v>
      </c>
      <c r="E219" t="s">
        <v>568</v>
      </c>
    </row>
    <row r="220" spans="1:5" x14ac:dyDescent="0.25">
      <c r="A220" t="s">
        <v>254</v>
      </c>
      <c r="B220" s="3">
        <f>'Design Converter'!H65*1000</f>
        <v>10000</v>
      </c>
      <c r="C220" t="s">
        <v>65</v>
      </c>
      <c r="E220" t="s">
        <v>255</v>
      </c>
    </row>
    <row r="222" spans="1:5" x14ac:dyDescent="0.25">
      <c r="A222" t="s">
        <v>259</v>
      </c>
      <c r="B222">
        <f>IF(B54=0,RCOMP_CALC_DCM,Rcomp_calc_CCM)</f>
        <v>217359.14099673679</v>
      </c>
    </row>
    <row r="223" spans="1:5" x14ac:dyDescent="0.25">
      <c r="A223" t="s">
        <v>180</v>
      </c>
      <c r="B223" s="3">
        <f>'Design Converter'!H68*1000</f>
        <v>220000</v>
      </c>
      <c r="C223" s="2" t="s">
        <v>36</v>
      </c>
      <c r="E223" t="s">
        <v>186</v>
      </c>
    </row>
    <row r="224" spans="1:5" x14ac:dyDescent="0.25">
      <c r="A224" t="s">
        <v>262</v>
      </c>
      <c r="B224">
        <f>IF(B54=0,CCOMP_CALC_DCM,CCOMP_calc_CCM)</f>
        <v>1.2262792876638783E-9</v>
      </c>
    </row>
    <row r="225" spans="1:5" x14ac:dyDescent="0.25">
      <c r="A225" t="s">
        <v>184</v>
      </c>
      <c r="B225" s="3">
        <f>'Design Converter'!H69*(10^-9)</f>
        <v>1.5000000000000002E-9</v>
      </c>
      <c r="C225" t="s">
        <v>162</v>
      </c>
      <c r="E225" t="s">
        <v>187</v>
      </c>
    </row>
    <row r="226" spans="1:5" x14ac:dyDescent="0.25">
      <c r="A226" t="s">
        <v>475</v>
      </c>
      <c r="B226">
        <f>IF(B54=0,CHF_CALC_DCM,CHF_CALC_CCM)</f>
        <v>5.1998435720650176E-12</v>
      </c>
    </row>
    <row r="227" spans="1:5" x14ac:dyDescent="0.25">
      <c r="A227" t="s">
        <v>185</v>
      </c>
      <c r="B227" s="3">
        <f>'Design Converter'!H70*(10^-12)</f>
        <v>3.3000000000000002E-11</v>
      </c>
      <c r="C227" t="s">
        <v>162</v>
      </c>
      <c r="E227" t="s">
        <v>188</v>
      </c>
    </row>
    <row r="229" spans="1:5" x14ac:dyDescent="0.25">
      <c r="A229" s="28" t="s">
        <v>320</v>
      </c>
    </row>
    <row r="230" spans="1:5" x14ac:dyDescent="0.25">
      <c r="A230" s="28" t="s">
        <v>338</v>
      </c>
    </row>
    <row r="231" spans="1:5" x14ac:dyDescent="0.25">
      <c r="A231" s="86" t="s">
        <v>392</v>
      </c>
      <c r="E231" t="s">
        <v>393</v>
      </c>
    </row>
    <row r="236" spans="1:5" x14ac:dyDescent="0.25">
      <c r="A236" s="28" t="s">
        <v>575</v>
      </c>
    </row>
    <row r="237" spans="1:5" ht="15.75" x14ac:dyDescent="0.3">
      <c r="A237" t="s">
        <v>347</v>
      </c>
      <c r="B237" s="3">
        <f>'Design Converter'!H75*(10^-3)</f>
        <v>4.0000000000000001E-3</v>
      </c>
      <c r="C237" s="2" t="s">
        <v>36</v>
      </c>
      <c r="E237" s="78" t="s">
        <v>327</v>
      </c>
    </row>
    <row r="238" spans="1:5" ht="15.75" x14ac:dyDescent="0.3">
      <c r="A238" t="s">
        <v>339</v>
      </c>
      <c r="B238" s="3">
        <f>'Design Converter'!H76*(10^-9)</f>
        <v>1.2000000000000002E-8</v>
      </c>
      <c r="C238" t="s">
        <v>162</v>
      </c>
      <c r="E238" s="78" t="s">
        <v>328</v>
      </c>
    </row>
    <row r="239" spans="1:5" ht="15.75" x14ac:dyDescent="0.3">
      <c r="A239" t="s">
        <v>341</v>
      </c>
      <c r="B239" s="3">
        <f>'Design Converter'!H77*(10^-9)</f>
        <v>1.7000000000000001E-9</v>
      </c>
      <c r="C239" t="s">
        <v>162</v>
      </c>
      <c r="E239" s="78" t="s">
        <v>329</v>
      </c>
    </row>
    <row r="240" spans="1:5" ht="15.75" x14ac:dyDescent="0.3">
      <c r="A240" t="s">
        <v>340</v>
      </c>
      <c r="B240" s="3">
        <f>'Design Converter'!H78*(10^-9)</f>
        <v>1.9000000000000001E-9</v>
      </c>
      <c r="C240" t="s">
        <v>162</v>
      </c>
      <c r="E240" s="78" t="s">
        <v>330</v>
      </c>
    </row>
    <row r="241" spans="1:8" ht="15.75" x14ac:dyDescent="0.3">
      <c r="A241" t="s">
        <v>342</v>
      </c>
      <c r="B241" s="3">
        <f>'Design Converter'!H79</f>
        <v>2.2000000000000002</v>
      </c>
      <c r="C241" s="2" t="s">
        <v>36</v>
      </c>
      <c r="E241" s="78" t="s">
        <v>331</v>
      </c>
    </row>
    <row r="242" spans="1:8" x14ac:dyDescent="0.25">
      <c r="A242" t="s">
        <v>348</v>
      </c>
      <c r="B242" s="12">
        <v>1.7</v>
      </c>
      <c r="C242" s="2"/>
      <c r="E242" s="78" t="s">
        <v>349</v>
      </c>
      <c r="H242" t="s">
        <v>358</v>
      </c>
    </row>
    <row r="243" spans="1:8" ht="15.75" x14ac:dyDescent="0.3">
      <c r="A243" t="s">
        <v>343</v>
      </c>
      <c r="B243" s="187">
        <v>90</v>
      </c>
      <c r="C243" s="2" t="s">
        <v>337</v>
      </c>
      <c r="E243" s="78" t="s">
        <v>332</v>
      </c>
    </row>
    <row r="244" spans="1:8" ht="15.75" x14ac:dyDescent="0.3">
      <c r="A244" t="s">
        <v>344</v>
      </c>
      <c r="B244" s="3">
        <f>'Design Converter'!H80</f>
        <v>1</v>
      </c>
      <c r="C244" s="2" t="s">
        <v>10</v>
      </c>
      <c r="E244" s="78" t="s">
        <v>333</v>
      </c>
    </row>
    <row r="245" spans="1:8" x14ac:dyDescent="0.25">
      <c r="A245" t="s">
        <v>354</v>
      </c>
      <c r="B245" s="12">
        <f>Vcc</f>
        <v>5</v>
      </c>
      <c r="C245" s="2" t="s">
        <v>10</v>
      </c>
      <c r="E245" s="78" t="s">
        <v>359</v>
      </c>
    </row>
    <row r="246" spans="1:8" x14ac:dyDescent="0.25">
      <c r="A246" t="s">
        <v>611</v>
      </c>
      <c r="B246">
        <v>3.3</v>
      </c>
      <c r="C246" s="2"/>
      <c r="E246" s="78"/>
    </row>
    <row r="247" spans="1:8" x14ac:dyDescent="0.25">
      <c r="C247" s="2"/>
      <c r="E247" s="78"/>
    </row>
    <row r="248" spans="1:8" x14ac:dyDescent="0.25">
      <c r="A248" t="s">
        <v>350</v>
      </c>
      <c r="B248" s="25">
        <f>Vth+(((VOUT*IOUT)/VIN_min)/gfs)</f>
        <v>1.3242424242424242</v>
      </c>
      <c r="C248" s="2" t="s">
        <v>10</v>
      </c>
      <c r="E248" s="78" t="s">
        <v>351</v>
      </c>
    </row>
    <row r="249" spans="1:8" x14ac:dyDescent="0.25">
      <c r="A249" t="s">
        <v>360</v>
      </c>
      <c r="B249" s="1">
        <f>(Qgd+(Qgs/2))*((Rgate+B242+B246)/(Vcc-B248))</f>
        <v>5.1907666941467435E-9</v>
      </c>
      <c r="C249" s="2" t="s">
        <v>51</v>
      </c>
      <c r="E249" s="78" t="s">
        <v>352</v>
      </c>
    </row>
    <row r="250" spans="1:8" ht="15.75" thickBot="1" x14ac:dyDescent="0.3">
      <c r="A250" t="s">
        <v>361</v>
      </c>
      <c r="B250" s="1">
        <f>(Qgd+(Qgs/2))*((B242+Rgate)/B248)</f>
        <v>7.8044622425629292E-9</v>
      </c>
      <c r="C250" t="s">
        <v>51</v>
      </c>
      <c r="E250" s="79" t="s">
        <v>353</v>
      </c>
    </row>
    <row r="253" spans="1:8" x14ac:dyDescent="0.25">
      <c r="A253" s="28" t="s">
        <v>576</v>
      </c>
    </row>
    <row r="254" spans="1:8" ht="15.75" x14ac:dyDescent="0.3">
      <c r="A254" t="s">
        <v>347</v>
      </c>
      <c r="B254" s="3">
        <f>'Design Converter'!H83*(10^-3)</f>
        <v>4.0000000000000001E-3</v>
      </c>
      <c r="C254" s="2" t="s">
        <v>36</v>
      </c>
      <c r="E254" s="78" t="s">
        <v>327</v>
      </c>
    </row>
    <row r="255" spans="1:8" ht="15.75" x14ac:dyDescent="0.3">
      <c r="A255" t="s">
        <v>339</v>
      </c>
      <c r="B255" s="3">
        <f>'Design Converter'!H84*(10^-9)</f>
        <v>1.2000000000000002E-8</v>
      </c>
      <c r="C255" t="s">
        <v>162</v>
      </c>
      <c r="E255" s="78" t="s">
        <v>328</v>
      </c>
    </row>
    <row r="256" spans="1:8" ht="15.75" x14ac:dyDescent="0.3">
      <c r="A256" t="s">
        <v>341</v>
      </c>
      <c r="B256" s="3">
        <f>'Design Converter'!H85*(10^-9)</f>
        <v>1.7000000000000001E-9</v>
      </c>
      <c r="C256" t="s">
        <v>162</v>
      </c>
      <c r="E256" s="78" t="s">
        <v>329</v>
      </c>
    </row>
    <row r="257" spans="1:5" ht="15.75" x14ac:dyDescent="0.3">
      <c r="A257" t="s">
        <v>340</v>
      </c>
      <c r="B257" s="3">
        <f>'Design Converter'!H86*(10^-9)</f>
        <v>1.9000000000000001E-9</v>
      </c>
      <c r="C257" t="s">
        <v>162</v>
      </c>
      <c r="E257" s="78" t="s">
        <v>330</v>
      </c>
    </row>
    <row r="258" spans="1:5" ht="15.75" x14ac:dyDescent="0.3">
      <c r="A258" t="s">
        <v>342</v>
      </c>
      <c r="B258" s="3">
        <f>'Design Converter'!H87</f>
        <v>3.2</v>
      </c>
      <c r="C258" s="2" t="s">
        <v>36</v>
      </c>
      <c r="E258" s="78" t="s">
        <v>331</v>
      </c>
    </row>
    <row r="259" spans="1:5" x14ac:dyDescent="0.25">
      <c r="A259" t="s">
        <v>348</v>
      </c>
      <c r="B259" s="12">
        <v>1.7</v>
      </c>
      <c r="C259" s="2"/>
      <c r="E259" s="78" t="s">
        <v>349</v>
      </c>
    </row>
    <row r="260" spans="1:5" ht="15.75" x14ac:dyDescent="0.3">
      <c r="A260" t="s">
        <v>343</v>
      </c>
      <c r="B260" s="187">
        <v>90</v>
      </c>
      <c r="C260" s="2" t="s">
        <v>337</v>
      </c>
      <c r="E260" s="78" t="s">
        <v>332</v>
      </c>
    </row>
    <row r="261" spans="1:5" ht="15.75" x14ac:dyDescent="0.3">
      <c r="A261" t="s">
        <v>344</v>
      </c>
      <c r="B261" s="3">
        <f>'Design Converter'!H88</f>
        <v>1</v>
      </c>
      <c r="C261" s="2" t="s">
        <v>10</v>
      </c>
      <c r="E261" s="78" t="s">
        <v>333</v>
      </c>
    </row>
    <row r="262" spans="1:5" x14ac:dyDescent="0.25">
      <c r="A262" t="s">
        <v>354</v>
      </c>
      <c r="B262" s="12">
        <f>Vcc</f>
        <v>5</v>
      </c>
      <c r="C262" s="2" t="s">
        <v>10</v>
      </c>
      <c r="E262" s="78" t="s">
        <v>359</v>
      </c>
    </row>
    <row r="263" spans="1:5" x14ac:dyDescent="0.25">
      <c r="A263" t="s">
        <v>346</v>
      </c>
      <c r="B263" s="3">
        <f>'Design Converter'!H89*10^-9</f>
        <v>0</v>
      </c>
      <c r="C263" t="s">
        <v>345</v>
      </c>
      <c r="E263" t="s">
        <v>577</v>
      </c>
    </row>
    <row r="264" spans="1:5" x14ac:dyDescent="0.25">
      <c r="A264" t="s">
        <v>321</v>
      </c>
      <c r="B264" s="3">
        <f>'Design Converter'!H90</f>
        <v>0.6</v>
      </c>
      <c r="C264" t="s">
        <v>10</v>
      </c>
      <c r="E264" t="s">
        <v>578</v>
      </c>
    </row>
    <row r="265" spans="1:5" x14ac:dyDescent="0.25">
      <c r="C265" s="2"/>
      <c r="E265" s="78"/>
    </row>
    <row r="266" spans="1:5" x14ac:dyDescent="0.25">
      <c r="A266" t="s">
        <v>350</v>
      </c>
      <c r="B266" s="25">
        <f>Vth+(((VOUT*IOUT)/VIN_min)/B260)</f>
        <v>1.3242424242424242</v>
      </c>
      <c r="C266" s="2" t="s">
        <v>10</v>
      </c>
      <c r="E266" s="78" t="s">
        <v>351</v>
      </c>
    </row>
    <row r="267" spans="1:5" x14ac:dyDescent="0.25">
      <c r="A267" t="s">
        <v>360</v>
      </c>
      <c r="B267" s="1">
        <f>(B256+(B257/2))*((B258+B259)/(Vcc-B266))</f>
        <v>3.532605111294312E-9</v>
      </c>
      <c r="C267" s="2" t="s">
        <v>51</v>
      </c>
      <c r="E267" s="78" t="s">
        <v>352</v>
      </c>
    </row>
    <row r="268" spans="1:5" ht="15.75" thickBot="1" x14ac:dyDescent="0.3">
      <c r="A268" t="s">
        <v>361</v>
      </c>
      <c r="B268" s="1">
        <f>(Qgd+(Qgs/2))*((B259+Rgate)/B266)</f>
        <v>7.8044622425629292E-9</v>
      </c>
      <c r="C268" t="s">
        <v>51</v>
      </c>
      <c r="E268" s="79" t="s">
        <v>353</v>
      </c>
    </row>
  </sheetData>
  <mergeCells count="2">
    <mergeCell ref="A1:J1"/>
    <mergeCell ref="E5:H5"/>
  </mergeCells>
  <pageMargins left="0.7" right="0.7" top="0.75" bottom="0.75" header="0.3" footer="0.3"/>
  <pageSetup orientation="portrait" r:id="rId1"/>
  <ignoredErrors>
    <ignoredError sqref="B199 B201" formula="1"/>
  </ignoredErrors>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57150</xdr:colOff>
                <xdr:row>110</xdr:row>
                <xdr:rowOff>0</xdr:rowOff>
              </from>
              <to>
                <xdr:col>13</xdr:col>
                <xdr:colOff>19050</xdr:colOff>
                <xdr:row>112</xdr:row>
                <xdr:rowOff>28575</xdr:rowOff>
              </to>
            </anchor>
          </objectPr>
        </oleObject>
      </mc:Choice>
      <mc:Fallback>
        <oleObject progId="Mathcad" shapeId="205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W157"/>
  <sheetViews>
    <sheetView topLeftCell="Z1" zoomScaleNormal="100" workbookViewId="0">
      <pane ySplit="6" topLeftCell="A7" activePane="bottomLeft" state="frozen"/>
      <selection activeCell="R1" sqref="R1"/>
      <selection pane="bottomLeft" activeCell="AN7" sqref="AN7"/>
    </sheetView>
  </sheetViews>
  <sheetFormatPr baseColWidth="10" defaultColWidth="9.140625" defaultRowHeight="15" x14ac:dyDescent="0.25"/>
  <cols>
    <col min="10" max="10" width="10" bestFit="1" customWidth="1"/>
    <col min="18" max="18" width="8.85546875"/>
    <col min="21" max="21" width="8.85546875"/>
    <col min="24" max="24" width="8.85546875"/>
    <col min="25" max="25" width="12" bestFit="1" customWidth="1"/>
    <col min="28" max="28" width="8.85546875"/>
    <col min="30" max="30" width="8.85546875"/>
    <col min="35" max="35" width="8.85546875"/>
    <col min="39" max="39" width="11" bestFit="1" customWidth="1"/>
    <col min="40" max="40" width="11" customWidth="1"/>
    <col min="43" max="44" width="8.7109375"/>
    <col min="45" max="46" width="8.85546875"/>
  </cols>
  <sheetData>
    <row r="1" spans="1:49" ht="27.75" x14ac:dyDescent="0.4">
      <c r="A1" s="213" t="s">
        <v>15</v>
      </c>
      <c r="B1" s="213"/>
      <c r="C1" s="213"/>
      <c r="D1" s="213"/>
      <c r="E1" s="213"/>
      <c r="F1" s="213"/>
      <c r="G1" s="213"/>
      <c r="H1" s="213"/>
      <c r="I1" s="213"/>
      <c r="J1" s="213"/>
      <c r="K1" s="213"/>
      <c r="L1" s="213"/>
      <c r="M1" s="213"/>
    </row>
    <row r="4" spans="1:49" ht="15.75" thickBot="1" x14ac:dyDescent="0.3">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row>
    <row r="5" spans="1:49" ht="30" x14ac:dyDescent="0.25">
      <c r="R5" s="219" t="s">
        <v>314</v>
      </c>
      <c r="S5" s="220"/>
      <c r="T5" s="220"/>
      <c r="U5" s="221"/>
      <c r="V5" s="219" t="s">
        <v>315</v>
      </c>
      <c r="W5" s="220"/>
      <c r="X5" s="221"/>
      <c r="Y5" s="219" t="s">
        <v>379</v>
      </c>
      <c r="Z5" s="220"/>
      <c r="AA5" s="220"/>
      <c r="AB5" s="220"/>
      <c r="AC5" s="220"/>
      <c r="AD5" s="221"/>
      <c r="AE5" s="219" t="s">
        <v>573</v>
      </c>
      <c r="AF5" s="220"/>
      <c r="AG5" s="220"/>
      <c r="AH5" s="220"/>
      <c r="AI5" s="221"/>
      <c r="AJ5" s="219" t="s">
        <v>574</v>
      </c>
      <c r="AK5" s="220"/>
      <c r="AL5" s="220"/>
      <c r="AM5" s="220"/>
      <c r="AN5" s="222"/>
      <c r="AO5" s="221"/>
      <c r="AP5" s="215" t="s">
        <v>376</v>
      </c>
      <c r="AQ5" s="216"/>
      <c r="AR5" s="216"/>
      <c r="AS5" s="217"/>
      <c r="AT5" s="218"/>
      <c r="AU5" s="83" t="s">
        <v>369</v>
      </c>
      <c r="AV5" s="84"/>
      <c r="AW5" s="85"/>
    </row>
    <row r="6" spans="1:49" ht="18" x14ac:dyDescent="0.35">
      <c r="R6" s="73" t="s">
        <v>31</v>
      </c>
      <c r="S6" s="71" t="s">
        <v>33</v>
      </c>
      <c r="T6" s="71" t="s">
        <v>270</v>
      </c>
      <c r="U6" s="74" t="s">
        <v>273</v>
      </c>
      <c r="V6" s="73" t="s">
        <v>271</v>
      </c>
      <c r="W6" s="71" t="s">
        <v>272</v>
      </c>
      <c r="X6" s="74" t="s">
        <v>319</v>
      </c>
      <c r="Y6" s="73" t="s">
        <v>316</v>
      </c>
      <c r="Z6" s="71" t="s">
        <v>318</v>
      </c>
      <c r="AA6" s="71" t="s">
        <v>317</v>
      </c>
      <c r="AB6" s="80" t="s">
        <v>323</v>
      </c>
      <c r="AC6" s="80" t="s">
        <v>324</v>
      </c>
      <c r="AD6" s="82" t="s">
        <v>367</v>
      </c>
      <c r="AE6" s="73" t="s">
        <v>362</v>
      </c>
      <c r="AF6" s="71" t="s">
        <v>363</v>
      </c>
      <c r="AG6" s="80" t="s">
        <v>365</v>
      </c>
      <c r="AH6" s="80" t="s">
        <v>364</v>
      </c>
      <c r="AI6" s="82" t="s">
        <v>366</v>
      </c>
      <c r="AJ6" s="73" t="s">
        <v>322</v>
      </c>
      <c r="AK6" s="71" t="s">
        <v>587</v>
      </c>
      <c r="AL6" s="71" t="s">
        <v>325</v>
      </c>
      <c r="AM6" s="71" t="s">
        <v>326</v>
      </c>
      <c r="AN6" s="188" t="s">
        <v>588</v>
      </c>
      <c r="AO6" s="74" t="s">
        <v>591</v>
      </c>
      <c r="AP6" s="73" t="s">
        <v>368</v>
      </c>
      <c r="AQ6" s="206" t="s">
        <v>324</v>
      </c>
      <c r="AR6" s="206" t="s">
        <v>593</v>
      </c>
      <c r="AS6" s="71" t="s">
        <v>371</v>
      </c>
      <c r="AT6" s="74" t="s">
        <v>372</v>
      </c>
      <c r="AU6" s="73" t="s">
        <v>370</v>
      </c>
      <c r="AV6" s="71" t="s">
        <v>378</v>
      </c>
      <c r="AW6" s="74" t="s">
        <v>377</v>
      </c>
    </row>
    <row r="7" spans="1:49" x14ac:dyDescent="0.25">
      <c r="Q7">
        <v>0</v>
      </c>
      <c r="R7" s="73">
        <f t="shared" ref="R7:R70" si="0">VOUT</f>
        <v>53.5</v>
      </c>
      <c r="S7" s="71">
        <f t="shared" ref="S7:S38" si="1">Q7*$O$12</f>
        <v>0</v>
      </c>
      <c r="T7" s="71">
        <f t="shared" ref="T7:T70" si="2">VIN_var</f>
        <v>11</v>
      </c>
      <c r="U7" s="74">
        <f t="shared" ref="U7:U38" si="3">(R7*S7)/(T7*EFF_est)</f>
        <v>0</v>
      </c>
      <c r="V7" s="73">
        <f>IF(Variable_Management!$B$20=3,2,IF((S7*R7/T7)&lt;((T7*(1-(T7/R7)))/(2*Lm*Fsw)),1,2))</f>
        <v>2</v>
      </c>
      <c r="W7" s="71">
        <f>CHOOSE(V7,SQRT((2*S7*Lm*Fsw*(R7-T7))/((T7)^2)),1-(T7/R7))</f>
        <v>0.79439252336448596</v>
      </c>
      <c r="X7" s="74">
        <f t="shared" ref="X7:X38" si="4">CHOOSE(V7,(Lm*Z7*Fsw)/(R7-T7),1-W7)</f>
        <v>0.20560747663551404</v>
      </c>
      <c r="Y7" s="73">
        <f t="shared" ref="Y7:Y38" si="5">(T7*W7)/(Lm*Fsw)</f>
        <v>5.8255451713395638</v>
      </c>
      <c r="Z7" s="71">
        <f>CHOOSE(V7,Y7,U7+(0.5*Y7))</f>
        <v>2.9127725856697819</v>
      </c>
      <c r="AA7" s="71">
        <f>CHOOSE(V7,Z7*SQRT((W7+X7)/3),SQRT((U7^2)+((Y7^2)/12)))</f>
        <v>1.6816900364246108</v>
      </c>
      <c r="AB7" s="71">
        <v>0</v>
      </c>
      <c r="AC7" s="71">
        <f t="shared" ref="AC7:AC38" si="6">(AA7^2)*Rdcr</f>
        <v>6.5045871708025605E-3</v>
      </c>
      <c r="AD7" s="74">
        <f>AB7+AC7</f>
        <v>6.5045871708025605E-3</v>
      </c>
      <c r="AE7" s="73">
        <f>U7*W7</f>
        <v>0</v>
      </c>
      <c r="AF7" s="71">
        <f>CHOOSE(V7,Z7*SQRT(W7/3),SQRT(W7*((Z7^2)+((Y7^2)/3)-(Z7*Y7))))</f>
        <v>1.4988684740943619</v>
      </c>
      <c r="AG7" s="71">
        <f t="shared" ref="AG7:AG38" si="7">(AF7^2)*RDS_on</f>
        <v>8.9864268105358421E-3</v>
      </c>
      <c r="AH7" s="71">
        <f>((R7*U7)/2)*Fsw*(tr_sw+tf_sw)</f>
        <v>0</v>
      </c>
      <c r="AI7" s="74">
        <f>AG7+AH7</f>
        <v>8.9864268105358421E-3</v>
      </c>
      <c r="AJ7" s="73">
        <f>X7*U7</f>
        <v>0</v>
      </c>
      <c r="AK7" s="71">
        <f>CHOOSE(V7,Z7*SQRT(X7/3),SQRT(X7*((Z7^2)+((Y7^2)/3)-(Y7*Z7))))</f>
        <v>0.76254486817225953</v>
      </c>
      <c r="AL7" s="71">
        <f t="shared" ref="AL7:AL38" si="8">(AK7^2)*RDS_on_HS</f>
        <v>2.3258987039033946E-3</v>
      </c>
      <c r="AM7" s="71">
        <f>CHOOSE(V7,0,(R7+Vd_rect)*Qrr*Fsw)</f>
        <v>0</v>
      </c>
      <c r="AN7" s="188">
        <f>Vd_rect*t_dead*Fsw*Z7</f>
        <v>3.4953271028037386E-2</v>
      </c>
      <c r="AO7" s="74">
        <f>AL7+AM7+AN7</f>
        <v>3.727916973194078E-2</v>
      </c>
      <c r="AP7" s="73">
        <f>(AA7^2)*R_cs</f>
        <v>4.2421220679147139E-3</v>
      </c>
      <c r="AQ7" s="206">
        <f t="shared" ref="AQ7:AQ38" si="9">Rdcr*AA7^2</f>
        <v>6.5045871708025605E-3</v>
      </c>
      <c r="AR7" s="206">
        <f t="shared" ref="AR7:AR38" si="10">ABS(7.759*10^-3*Fsw^0.9458*(0.00787*Y7)^2.304)</f>
        <v>3.0218089420955812</v>
      </c>
      <c r="AS7" s="71">
        <f t="shared" ref="AS7:AS38" si="11">(Qg_tot+Qg_tot_HS)*Vcc*Fsw</f>
        <v>0.12000000000000001</v>
      </c>
      <c r="AT7" s="74">
        <f t="shared" ref="AT7:AT38" si="12">IQ*T7</f>
        <v>3.6299999999999995E-5</v>
      </c>
      <c r="AU7" s="73">
        <f>AP7+AO7+AI7+AD7+AS7+AT7+AQ7+AR7</f>
        <v>3.2053621350475776</v>
      </c>
      <c r="AV7" s="71">
        <f>R7*S7</f>
        <v>0</v>
      </c>
      <c r="AW7" s="74">
        <f>(AV7/(AV7+AU7))*100</f>
        <v>0</v>
      </c>
    </row>
    <row r="8" spans="1:49" x14ac:dyDescent="0.25">
      <c r="M8">
        <f>Fsw</f>
        <v>1000000</v>
      </c>
      <c r="Q8">
        <v>1</v>
      </c>
      <c r="R8" s="73">
        <f t="shared" si="0"/>
        <v>53.5</v>
      </c>
      <c r="S8" s="71">
        <f t="shared" si="1"/>
        <v>0.04</v>
      </c>
      <c r="T8" s="71">
        <f t="shared" si="2"/>
        <v>11</v>
      </c>
      <c r="U8" s="74">
        <f t="shared" si="3"/>
        <v>0.19454545454545455</v>
      </c>
      <c r="V8" s="73">
        <f>IF(Variable_Management!$B$20=3,2,IF((S8*R8/T8)&lt;((T8*(1-(T8/R8)))/(2*Lm*Fsw)),1,2))</f>
        <v>2</v>
      </c>
      <c r="W8" s="71">
        <f t="shared" ref="W8:W38" si="13">CHOOSE(V8,SQRT((2*S8*Lm*Fsw*(R8-T8))/((T8)^2)),1-(T8/R8))</f>
        <v>0.79439252336448596</v>
      </c>
      <c r="X8" s="74">
        <f t="shared" si="4"/>
        <v>0.20560747663551404</v>
      </c>
      <c r="Y8" s="73">
        <f t="shared" si="5"/>
        <v>5.8255451713395638</v>
      </c>
      <c r="Z8" s="71">
        <f t="shared" ref="Z8:Z15" si="14">CHOOSE(V8,Y8,U8+(0.5*Y8))</f>
        <v>3.1073180402152363</v>
      </c>
      <c r="AA8" s="71">
        <f t="shared" ref="AA8:AA15" si="15">CHOOSE(V8,Z8*SQRT((W8+X8)/3),SQRT((U8^2)+((Y8^2)/12)))</f>
        <v>1.6929055828645927</v>
      </c>
      <c r="AB8" s="71">
        <v>0</v>
      </c>
      <c r="AC8" s="71">
        <f t="shared" si="6"/>
        <v>6.5916374187364448E-3</v>
      </c>
      <c r="AD8" s="74">
        <f t="shared" ref="AD8:AD71" si="16">AB8+AC8</f>
        <v>6.5916374187364448E-3</v>
      </c>
      <c r="AE8" s="73">
        <f>U8*W8</f>
        <v>0.15454545454545454</v>
      </c>
      <c r="AF8" s="71">
        <f t="shared" ref="AF8:AF71" si="17">CHOOSE(V8,Z8*SQRT(W8/3),SQRT(W8*((Z8^2)+((Y8^2)/3)-(Z8*Y8))))</f>
        <v>1.5088647448782277</v>
      </c>
      <c r="AG8" s="71">
        <f t="shared" si="7"/>
        <v>9.1066912733457576E-3</v>
      </c>
      <c r="AH8" s="71">
        <f t="shared" ref="AH8:AH38" si="18">((R8*U8)/2)*Fsw*(tr_sw+tf_sw)</f>
        <v>6.7628352771085934E-2</v>
      </c>
      <c r="AI8" s="74">
        <f t="shared" ref="AI8:AI71" si="19">AG8+AH8</f>
        <v>7.6735044044431697E-2</v>
      </c>
      <c r="AJ8" s="73">
        <f t="shared" ref="AJ8:AJ71" si="20">X8*U8</f>
        <v>4.0000000000000008E-2</v>
      </c>
      <c r="AK8" s="71">
        <f t="shared" ref="AK8:AK38" si="21">CHOOSE(V8,Z8*SQRT(X8/3),SQRT(X8*((Z8^2)+((Y8^2)/3)-(Y8*Z8))))</f>
        <v>0.76763044113535961</v>
      </c>
      <c r="AL8" s="71">
        <f t="shared" si="8"/>
        <v>2.3570259766306674E-3</v>
      </c>
      <c r="AM8" s="71">
        <f t="shared" ref="AM8:AM39" si="22">CHOOSE(V8,(R8+Vd_rect)*Qrr*Fsw,(R8+Vd_rect)*Qrr*Fsw)</f>
        <v>0</v>
      </c>
      <c r="AN8" s="188">
        <f t="shared" ref="AN8:AN38" si="23">Vd_rect*t_dead*Fsw*Z8</f>
        <v>3.7287816482582836E-2</v>
      </c>
      <c r="AO8" s="74">
        <f t="shared" ref="AO8:AO71" si="24">AL8+AM8+AN8</f>
        <v>3.96448424592135E-2</v>
      </c>
      <c r="AP8" s="73">
        <f t="shared" ref="AP8:AP38" si="25">(AA8^2)*R_cs</f>
        <v>4.29889396874116E-3</v>
      </c>
      <c r="AQ8" s="206">
        <f t="shared" si="9"/>
        <v>6.5916374187364448E-3</v>
      </c>
      <c r="AR8" s="206">
        <f t="shared" si="10"/>
        <v>3.0218089420955812</v>
      </c>
      <c r="AS8" s="71">
        <f t="shared" si="11"/>
        <v>0.12000000000000001</v>
      </c>
      <c r="AT8" s="74">
        <f t="shared" si="12"/>
        <v>3.6299999999999995E-5</v>
      </c>
      <c r="AU8" s="73">
        <f t="shared" ref="AU8:AU71" si="26">AP8+AO8+AI8+AD8+AS8+AT8+AQ8+AR8</f>
        <v>3.2757072974054404</v>
      </c>
      <c r="AV8" s="71">
        <f t="shared" ref="AV8:AV71" si="27">R8*S8</f>
        <v>2.14</v>
      </c>
      <c r="AW8" s="74">
        <f t="shared" ref="AW8:AW71" si="28">(AV8/(AV8+AU8))*100</f>
        <v>39.514690925509072</v>
      </c>
    </row>
    <row r="9" spans="1:49" x14ac:dyDescent="0.25">
      <c r="N9" s="71" t="s">
        <v>198</v>
      </c>
      <c r="O9" s="71">
        <f>VIN_var</f>
        <v>11</v>
      </c>
      <c r="P9" t="s">
        <v>10</v>
      </c>
      <c r="Q9">
        <v>2</v>
      </c>
      <c r="R9" s="73">
        <f t="shared" si="0"/>
        <v>53.5</v>
      </c>
      <c r="S9" s="71">
        <f t="shared" si="1"/>
        <v>0.08</v>
      </c>
      <c r="T9" s="71">
        <f t="shared" si="2"/>
        <v>11</v>
      </c>
      <c r="U9" s="74">
        <f t="shared" si="3"/>
        <v>0.3890909090909091</v>
      </c>
      <c r="V9" s="73">
        <f>IF(Variable_Management!$B$20=3,2,IF((S9*R9/T9)&lt;((T9*(1-(T9/R9)))/(2*Lm*Fsw)),1,2))</f>
        <v>2</v>
      </c>
      <c r="W9" s="71">
        <f t="shared" si="13"/>
        <v>0.79439252336448596</v>
      </c>
      <c r="X9" s="74">
        <f t="shared" si="4"/>
        <v>0.20560747663551404</v>
      </c>
      <c r="Y9" s="73">
        <f t="shared" si="5"/>
        <v>5.8255451713395638</v>
      </c>
      <c r="Z9" s="71">
        <f t="shared" si="14"/>
        <v>3.3018634947606911</v>
      </c>
      <c r="AA9" s="71">
        <f t="shared" si="15"/>
        <v>1.7261150350272136</v>
      </c>
      <c r="AB9" s="71">
        <v>0</v>
      </c>
      <c r="AC9" s="71">
        <f t="shared" si="6"/>
        <v>6.8527881625380978E-3</v>
      </c>
      <c r="AD9" s="74">
        <f t="shared" si="16"/>
        <v>6.8527881625380978E-3</v>
      </c>
      <c r="AE9" s="73">
        <f t="shared" ref="AE9:AE72" si="29">U9*W9</f>
        <v>0.30909090909090908</v>
      </c>
      <c r="AF9" s="71">
        <f t="shared" si="17"/>
        <v>1.5384638979982199</v>
      </c>
      <c r="AG9" s="71">
        <f t="shared" si="7"/>
        <v>9.4674846617755094E-3</v>
      </c>
      <c r="AH9" s="71">
        <f t="shared" si="18"/>
        <v>0.13525670554217187</v>
      </c>
      <c r="AI9" s="74">
        <f t="shared" si="19"/>
        <v>0.14472419020394739</v>
      </c>
      <c r="AJ9" s="73">
        <f t="shared" si="20"/>
        <v>8.0000000000000016E-2</v>
      </c>
      <c r="AK9" s="71">
        <f t="shared" si="21"/>
        <v>0.78268892205212737</v>
      </c>
      <c r="AL9" s="71">
        <f t="shared" si="8"/>
        <v>2.4504077948124844E-3</v>
      </c>
      <c r="AM9" s="71">
        <f t="shared" si="22"/>
        <v>0</v>
      </c>
      <c r="AN9" s="188">
        <f t="shared" si="23"/>
        <v>3.9622361937128293E-2</v>
      </c>
      <c r="AO9" s="74">
        <f t="shared" si="24"/>
        <v>4.2072769731940775E-2</v>
      </c>
      <c r="AP9" s="73">
        <f t="shared" si="25"/>
        <v>4.4692096712204985E-3</v>
      </c>
      <c r="AQ9" s="206">
        <f t="shared" si="9"/>
        <v>6.8527881625380978E-3</v>
      </c>
      <c r="AR9" s="206">
        <f t="shared" si="10"/>
        <v>3.0218089420955812</v>
      </c>
      <c r="AS9" s="71">
        <f t="shared" si="11"/>
        <v>0.12000000000000001</v>
      </c>
      <c r="AT9" s="74">
        <f t="shared" si="12"/>
        <v>3.6299999999999995E-5</v>
      </c>
      <c r="AU9" s="73">
        <f t="shared" si="26"/>
        <v>3.3468169880277658</v>
      </c>
      <c r="AV9" s="71">
        <f t="shared" si="27"/>
        <v>4.28</v>
      </c>
      <c r="AW9" s="74">
        <f t="shared" si="28"/>
        <v>56.117775039292951</v>
      </c>
    </row>
    <row r="10" spans="1:49" x14ac:dyDescent="0.25">
      <c r="N10" s="71"/>
      <c r="O10" s="71"/>
      <c r="Q10">
        <v>3</v>
      </c>
      <c r="R10" s="73">
        <f t="shared" si="0"/>
        <v>53.5</v>
      </c>
      <c r="S10" s="71">
        <f t="shared" si="1"/>
        <v>0.12</v>
      </c>
      <c r="T10" s="71">
        <f t="shared" si="2"/>
        <v>11</v>
      </c>
      <c r="U10" s="74">
        <f t="shared" si="3"/>
        <v>0.58363636363636362</v>
      </c>
      <c r="V10" s="73">
        <f>IF(Variable_Management!$B$20=3,2,IF((S10*R10/T10)&lt;((T10*(1-(T10/R10)))/(2*Lm*Fsw)),1,2))</f>
        <v>2</v>
      </c>
      <c r="W10" s="71">
        <f t="shared" si="13"/>
        <v>0.79439252336448596</v>
      </c>
      <c r="X10" s="74">
        <f t="shared" si="4"/>
        <v>0.20560747663551404</v>
      </c>
      <c r="Y10" s="73">
        <f t="shared" si="5"/>
        <v>5.8255451713395638</v>
      </c>
      <c r="Z10" s="71">
        <f t="shared" si="14"/>
        <v>3.4964089493061454</v>
      </c>
      <c r="AA10" s="71">
        <f t="shared" si="15"/>
        <v>1.7800878583846604</v>
      </c>
      <c r="AB10" s="71">
        <v>0</v>
      </c>
      <c r="AC10" s="71">
        <f t="shared" si="6"/>
        <v>7.2880394022075195E-3</v>
      </c>
      <c r="AD10" s="74">
        <f t="shared" si="16"/>
        <v>7.2880394022075195E-3</v>
      </c>
      <c r="AE10" s="73">
        <f t="shared" si="29"/>
        <v>0.46363636363636362</v>
      </c>
      <c r="AF10" s="71">
        <f t="shared" si="17"/>
        <v>1.5865691740218175</v>
      </c>
      <c r="AG10" s="71">
        <f t="shared" si="7"/>
        <v>1.0068806975825089E-2</v>
      </c>
      <c r="AH10" s="71">
        <f t="shared" si="18"/>
        <v>0.20288505831325779</v>
      </c>
      <c r="AI10" s="74">
        <f t="shared" si="19"/>
        <v>0.21295386528908289</v>
      </c>
      <c r="AJ10" s="73">
        <f t="shared" si="20"/>
        <v>0.12000000000000001</v>
      </c>
      <c r="AK10" s="71">
        <f t="shared" si="21"/>
        <v>0.80716233783063229</v>
      </c>
      <c r="AL10" s="71">
        <f t="shared" si="8"/>
        <v>2.6060441584488474E-3</v>
      </c>
      <c r="AM10" s="71">
        <f t="shared" si="22"/>
        <v>0</v>
      </c>
      <c r="AN10" s="188">
        <f t="shared" si="23"/>
        <v>4.1956907391673744E-2</v>
      </c>
      <c r="AO10" s="74">
        <f t="shared" si="24"/>
        <v>4.456295155012259E-2</v>
      </c>
      <c r="AP10" s="73">
        <f t="shared" si="25"/>
        <v>4.7530691753527301E-3</v>
      </c>
      <c r="AQ10" s="206">
        <f t="shared" si="9"/>
        <v>7.2880394022075195E-3</v>
      </c>
      <c r="AR10" s="206">
        <f t="shared" si="10"/>
        <v>3.0218089420955812</v>
      </c>
      <c r="AS10" s="71">
        <f t="shared" si="11"/>
        <v>0.12000000000000001</v>
      </c>
      <c r="AT10" s="74">
        <f t="shared" si="12"/>
        <v>3.6299999999999995E-5</v>
      </c>
      <c r="AU10" s="73">
        <f t="shared" si="26"/>
        <v>3.4186912069145543</v>
      </c>
      <c r="AV10" s="71">
        <f t="shared" si="27"/>
        <v>6.42</v>
      </c>
      <c r="AW10" s="74">
        <f t="shared" si="28"/>
        <v>65.252581517022051</v>
      </c>
    </row>
    <row r="11" spans="1:49" x14ac:dyDescent="0.25">
      <c r="N11" s="71" t="s">
        <v>268</v>
      </c>
      <c r="O11" s="71">
        <v>150</v>
      </c>
      <c r="Q11">
        <v>4</v>
      </c>
      <c r="R11" s="73">
        <f t="shared" si="0"/>
        <v>53.5</v>
      </c>
      <c r="S11" s="71">
        <f t="shared" si="1"/>
        <v>0.16</v>
      </c>
      <c r="T11" s="71">
        <f t="shared" si="2"/>
        <v>11</v>
      </c>
      <c r="U11" s="74">
        <f t="shared" si="3"/>
        <v>0.7781818181818182</v>
      </c>
      <c r="V11" s="73">
        <f>IF(Variable_Management!$B$20=3,2,IF((S11*R11/T11)&lt;((T11*(1-(T11/R11)))/(2*Lm*Fsw)),1,2))</f>
        <v>2</v>
      </c>
      <c r="W11" s="71">
        <f t="shared" si="13"/>
        <v>0.79439252336448596</v>
      </c>
      <c r="X11" s="74">
        <f t="shared" si="4"/>
        <v>0.20560747663551404</v>
      </c>
      <c r="Y11" s="73">
        <f t="shared" si="5"/>
        <v>5.8255451713395638</v>
      </c>
      <c r="Z11" s="71">
        <f t="shared" si="14"/>
        <v>3.6909544038516002</v>
      </c>
      <c r="AA11" s="71">
        <f t="shared" si="15"/>
        <v>1.8530106099962216</v>
      </c>
      <c r="AB11" s="71">
        <v>0</v>
      </c>
      <c r="AC11" s="71">
        <f t="shared" si="6"/>
        <v>7.8973911377447099E-3</v>
      </c>
      <c r="AD11" s="74">
        <f t="shared" si="16"/>
        <v>7.8973911377447099E-3</v>
      </c>
      <c r="AE11" s="73">
        <f t="shared" si="29"/>
        <v>0.61818181818181817</v>
      </c>
      <c r="AF11" s="71">
        <f t="shared" si="17"/>
        <v>1.6515642748236086</v>
      </c>
      <c r="AG11" s="71">
        <f t="shared" si="7"/>
        <v>1.0910658215494529E-2</v>
      </c>
      <c r="AH11" s="71">
        <f t="shared" si="18"/>
        <v>0.27051341108434374</v>
      </c>
      <c r="AI11" s="74">
        <f t="shared" si="19"/>
        <v>0.28142406929983826</v>
      </c>
      <c r="AJ11" s="73">
        <f t="shared" si="20"/>
        <v>0.16000000000000003</v>
      </c>
      <c r="AK11" s="71">
        <f t="shared" si="21"/>
        <v>0.84022840161764345</v>
      </c>
      <c r="AL11" s="71">
        <f t="shared" si="8"/>
        <v>2.8239350675397599E-3</v>
      </c>
      <c r="AM11" s="71">
        <f t="shared" si="22"/>
        <v>0</v>
      </c>
      <c r="AN11" s="188">
        <f t="shared" si="23"/>
        <v>4.4291452846219201E-2</v>
      </c>
      <c r="AO11" s="74">
        <f t="shared" si="24"/>
        <v>4.7115387913758959E-2</v>
      </c>
      <c r="AP11" s="73">
        <f t="shared" si="25"/>
        <v>5.1504724811378541E-3</v>
      </c>
      <c r="AQ11" s="206">
        <f t="shared" si="9"/>
        <v>7.8973911377447099E-3</v>
      </c>
      <c r="AR11" s="206">
        <f t="shared" si="10"/>
        <v>3.0218089420955812</v>
      </c>
      <c r="AS11" s="71">
        <f t="shared" si="11"/>
        <v>0.12000000000000001</v>
      </c>
      <c r="AT11" s="74">
        <f t="shared" si="12"/>
        <v>3.6299999999999995E-5</v>
      </c>
      <c r="AU11" s="73">
        <f t="shared" si="26"/>
        <v>3.4913299540658058</v>
      </c>
      <c r="AV11" s="71">
        <f t="shared" si="27"/>
        <v>8.56</v>
      </c>
      <c r="AW11" s="74">
        <f t="shared" si="28"/>
        <v>71.029504898022296</v>
      </c>
    </row>
    <row r="12" spans="1:49" x14ac:dyDescent="0.25">
      <c r="N12" s="71" t="s">
        <v>269</v>
      </c>
      <c r="O12" s="71">
        <f>IOUT/(O11)</f>
        <v>0.04</v>
      </c>
      <c r="Q12">
        <v>5</v>
      </c>
      <c r="R12" s="73">
        <f t="shared" si="0"/>
        <v>53.5</v>
      </c>
      <c r="S12" s="71">
        <f t="shared" si="1"/>
        <v>0.2</v>
      </c>
      <c r="T12" s="71">
        <f t="shared" si="2"/>
        <v>11</v>
      </c>
      <c r="U12" s="74">
        <f t="shared" si="3"/>
        <v>0.97272727272727277</v>
      </c>
      <c r="V12" s="73">
        <f>IF(Variable_Management!$B$20=3,2,IF((S12*R12/T12)&lt;((T12*(1-(T12/R12)))/(2*Lm*Fsw)),1,2))</f>
        <v>2</v>
      </c>
      <c r="W12" s="71">
        <f t="shared" si="13"/>
        <v>0.79439252336448596</v>
      </c>
      <c r="X12" s="74">
        <f t="shared" si="4"/>
        <v>0.20560747663551404</v>
      </c>
      <c r="Y12" s="73">
        <f t="shared" si="5"/>
        <v>5.8255451713395638</v>
      </c>
      <c r="Z12" s="71">
        <f t="shared" si="14"/>
        <v>3.8854998583970546</v>
      </c>
      <c r="AA12" s="71">
        <f t="shared" si="15"/>
        <v>1.9427505567409438</v>
      </c>
      <c r="AB12" s="71">
        <v>0</v>
      </c>
      <c r="AC12" s="71">
        <f t="shared" si="6"/>
        <v>8.680843369149668E-3</v>
      </c>
      <c r="AD12" s="74">
        <f t="shared" si="16"/>
        <v>8.680843369149668E-3</v>
      </c>
      <c r="AE12" s="73">
        <f t="shared" si="29"/>
        <v>0.77272727272727271</v>
      </c>
      <c r="AF12" s="71">
        <f t="shared" si="17"/>
        <v>1.7315483230900439</v>
      </c>
      <c r="AG12" s="71">
        <f t="shared" si="7"/>
        <v>1.1993038380783774E-2</v>
      </c>
      <c r="AH12" s="71">
        <f t="shared" si="18"/>
        <v>0.33814176385542966</v>
      </c>
      <c r="AI12" s="74">
        <f t="shared" si="19"/>
        <v>0.3501348022362134</v>
      </c>
      <c r="AJ12" s="73">
        <f t="shared" si="20"/>
        <v>0.20000000000000004</v>
      </c>
      <c r="AK12" s="71">
        <f t="shared" si="21"/>
        <v>0.88092004774627708</v>
      </c>
      <c r="AL12" s="71">
        <f t="shared" si="8"/>
        <v>3.1040805220852127E-3</v>
      </c>
      <c r="AM12" s="71">
        <f t="shared" si="22"/>
        <v>0</v>
      </c>
      <c r="AN12" s="188">
        <f t="shared" si="23"/>
        <v>4.6625998300764658E-2</v>
      </c>
      <c r="AO12" s="74">
        <f t="shared" si="24"/>
        <v>4.9730078822849869E-2</v>
      </c>
      <c r="AP12" s="73">
        <f t="shared" si="25"/>
        <v>5.6614195885758712E-3</v>
      </c>
      <c r="AQ12" s="206">
        <f t="shared" si="9"/>
        <v>8.680843369149668E-3</v>
      </c>
      <c r="AR12" s="206">
        <f t="shared" si="10"/>
        <v>3.0218089420955812</v>
      </c>
      <c r="AS12" s="71">
        <f t="shared" si="11"/>
        <v>0.12000000000000001</v>
      </c>
      <c r="AT12" s="74">
        <f t="shared" si="12"/>
        <v>3.6299999999999995E-5</v>
      </c>
      <c r="AU12" s="73">
        <f t="shared" si="26"/>
        <v>3.5647332294815195</v>
      </c>
      <c r="AV12" s="71">
        <f t="shared" si="27"/>
        <v>10.700000000000001</v>
      </c>
      <c r="AW12" s="74">
        <f t="shared" si="28"/>
        <v>75.010165474990188</v>
      </c>
    </row>
    <row r="13" spans="1:49" x14ac:dyDescent="0.25">
      <c r="Q13">
        <v>6</v>
      </c>
      <c r="R13" s="73">
        <f t="shared" si="0"/>
        <v>53.5</v>
      </c>
      <c r="S13" s="71">
        <f t="shared" si="1"/>
        <v>0.24</v>
      </c>
      <c r="T13" s="71">
        <f t="shared" si="2"/>
        <v>11</v>
      </c>
      <c r="U13" s="74">
        <f t="shared" si="3"/>
        <v>1.1672727272727272</v>
      </c>
      <c r="V13" s="73">
        <f>IF(Variable_Management!$B$20=3,2,IF((S13*R13/T13)&lt;((T13*(1-(T13/R13)))/(2*Lm*Fsw)),1,2))</f>
        <v>2</v>
      </c>
      <c r="W13" s="71">
        <f t="shared" si="13"/>
        <v>0.79439252336448596</v>
      </c>
      <c r="X13" s="74">
        <f t="shared" si="4"/>
        <v>0.20560747663551404</v>
      </c>
      <c r="Y13" s="73">
        <f t="shared" si="5"/>
        <v>5.8255451713395638</v>
      </c>
      <c r="Z13" s="71">
        <f t="shared" si="14"/>
        <v>4.0800453129425094</v>
      </c>
      <c r="AA13" s="71">
        <f t="shared" si="15"/>
        <v>2.04709721274895</v>
      </c>
      <c r="AB13" s="71">
        <v>0</v>
      </c>
      <c r="AC13" s="71">
        <f t="shared" si="6"/>
        <v>9.6383960964223948E-3</v>
      </c>
      <c r="AD13" s="74">
        <f t="shared" si="16"/>
        <v>9.6383960964223948E-3</v>
      </c>
      <c r="AE13" s="73">
        <f t="shared" si="29"/>
        <v>0.92727272727272725</v>
      </c>
      <c r="AF13" s="71">
        <f t="shared" si="17"/>
        <v>1.8245511414929469</v>
      </c>
      <c r="AG13" s="71">
        <f t="shared" si="7"/>
        <v>1.3315947471692862E-2</v>
      </c>
      <c r="AH13" s="71">
        <f t="shared" si="18"/>
        <v>0.40577011662651558</v>
      </c>
      <c r="AI13" s="74">
        <f t="shared" si="19"/>
        <v>0.41908606409820842</v>
      </c>
      <c r="AJ13" s="73">
        <f t="shared" si="20"/>
        <v>0.24000000000000002</v>
      </c>
      <c r="AK13" s="71">
        <f t="shared" si="21"/>
        <v>0.92823495437378523</v>
      </c>
      <c r="AL13" s="71">
        <f t="shared" si="8"/>
        <v>3.4464805220852128E-3</v>
      </c>
      <c r="AM13" s="71">
        <f t="shared" si="22"/>
        <v>0</v>
      </c>
      <c r="AN13" s="188">
        <f t="shared" si="23"/>
        <v>4.8960543755310115E-2</v>
      </c>
      <c r="AO13" s="74">
        <f t="shared" si="24"/>
        <v>5.2407024277395325E-2</v>
      </c>
      <c r="AP13" s="73">
        <f t="shared" si="25"/>
        <v>6.2859104976667798E-3</v>
      </c>
      <c r="AQ13" s="206">
        <f t="shared" si="9"/>
        <v>9.6383960964223948E-3</v>
      </c>
      <c r="AR13" s="206">
        <f t="shared" si="10"/>
        <v>3.0218089420955812</v>
      </c>
      <c r="AS13" s="71">
        <f t="shared" si="11"/>
        <v>0.12000000000000001</v>
      </c>
      <c r="AT13" s="74">
        <f t="shared" si="12"/>
        <v>3.6299999999999995E-5</v>
      </c>
      <c r="AU13" s="73">
        <f t="shared" si="26"/>
        <v>3.6389010331616962</v>
      </c>
      <c r="AV13" s="71">
        <f t="shared" si="27"/>
        <v>12.84</v>
      </c>
      <c r="AW13" s="74">
        <f t="shared" si="28"/>
        <v>77.917817299594972</v>
      </c>
    </row>
    <row r="14" spans="1:49" x14ac:dyDescent="0.25">
      <c r="Q14">
        <v>7</v>
      </c>
      <c r="R14" s="73">
        <f t="shared" si="0"/>
        <v>53.5</v>
      </c>
      <c r="S14" s="71">
        <f t="shared" si="1"/>
        <v>0.28000000000000003</v>
      </c>
      <c r="T14" s="71">
        <f t="shared" si="2"/>
        <v>11</v>
      </c>
      <c r="U14" s="74">
        <f t="shared" si="3"/>
        <v>1.361818181818182</v>
      </c>
      <c r="V14" s="73">
        <f>IF(Variable_Management!$B$20=3,2,IF((S14*R14/T14)&lt;((T14*(1-(T14/R14)))/(2*Lm*Fsw)),1,2))</f>
        <v>2</v>
      </c>
      <c r="W14" s="71">
        <f t="shared" si="13"/>
        <v>0.79439252336448596</v>
      </c>
      <c r="X14" s="74">
        <f t="shared" si="4"/>
        <v>0.20560747663551404</v>
      </c>
      <c r="Y14" s="73">
        <f t="shared" si="5"/>
        <v>5.8255451713395638</v>
      </c>
      <c r="Z14" s="71">
        <f t="shared" si="14"/>
        <v>4.2745907674879637</v>
      </c>
      <c r="AA14" s="71">
        <f t="shared" si="15"/>
        <v>2.1639385709720105</v>
      </c>
      <c r="AB14" s="71">
        <v>0</v>
      </c>
      <c r="AC14" s="71">
        <f t="shared" si="6"/>
        <v>1.077004931956289E-2</v>
      </c>
      <c r="AD14" s="74">
        <f t="shared" si="16"/>
        <v>1.077004931956289E-2</v>
      </c>
      <c r="AE14" s="73">
        <f t="shared" si="29"/>
        <v>1.081818181818182</v>
      </c>
      <c r="AF14" s="71">
        <f t="shared" si="17"/>
        <v>1.9286903255980339</v>
      </c>
      <c r="AG14" s="71">
        <f t="shared" si="7"/>
        <v>1.48793854882218E-2</v>
      </c>
      <c r="AH14" s="71">
        <f t="shared" si="18"/>
        <v>0.47339846939760166</v>
      </c>
      <c r="AI14" s="74">
        <f t="shared" si="19"/>
        <v>0.48827785488582348</v>
      </c>
      <c r="AJ14" s="73">
        <f t="shared" si="20"/>
        <v>0.28000000000000008</v>
      </c>
      <c r="AK14" s="71">
        <f t="shared" si="21"/>
        <v>0.98121545385554343</v>
      </c>
      <c r="AL14" s="71">
        <f t="shared" si="8"/>
        <v>3.8511350675397601E-3</v>
      </c>
      <c r="AM14" s="71">
        <f t="shared" si="22"/>
        <v>0</v>
      </c>
      <c r="AN14" s="188">
        <f t="shared" si="23"/>
        <v>5.1295089209855566E-2</v>
      </c>
      <c r="AO14" s="74">
        <f t="shared" si="24"/>
        <v>5.5146224277395323E-2</v>
      </c>
      <c r="AP14" s="73">
        <f t="shared" si="25"/>
        <v>7.0239452084105806E-3</v>
      </c>
      <c r="AQ14" s="206">
        <f t="shared" si="9"/>
        <v>1.077004931956289E-2</v>
      </c>
      <c r="AR14" s="206">
        <f t="shared" si="10"/>
        <v>3.0218089420955812</v>
      </c>
      <c r="AS14" s="71">
        <f t="shared" si="11"/>
        <v>0.12000000000000001</v>
      </c>
      <c r="AT14" s="74">
        <f t="shared" si="12"/>
        <v>3.6299999999999995E-5</v>
      </c>
      <c r="AU14" s="73">
        <f t="shared" si="26"/>
        <v>3.7138333651063364</v>
      </c>
      <c r="AV14" s="71">
        <f t="shared" si="27"/>
        <v>14.980000000000002</v>
      </c>
      <c r="AW14" s="74">
        <f t="shared" si="28"/>
        <v>80.133377180741704</v>
      </c>
    </row>
    <row r="15" spans="1:49" x14ac:dyDescent="0.25">
      <c r="O15">
        <f>0.205*2.5/(Lm*Fsw)</f>
        <v>0.34166666666666662</v>
      </c>
      <c r="Q15">
        <v>8</v>
      </c>
      <c r="R15" s="73">
        <f t="shared" si="0"/>
        <v>53.5</v>
      </c>
      <c r="S15" s="71">
        <f t="shared" si="1"/>
        <v>0.32</v>
      </c>
      <c r="T15" s="71">
        <f t="shared" si="2"/>
        <v>11</v>
      </c>
      <c r="U15" s="74">
        <f t="shared" si="3"/>
        <v>1.5563636363636364</v>
      </c>
      <c r="V15" s="73">
        <f>IF(Variable_Management!$B$20=3,2,IF((S15*R15/T15)&lt;((T15*(1-(T15/R15)))/(2*Lm*Fsw)),1,2))</f>
        <v>2</v>
      </c>
      <c r="W15" s="71">
        <f t="shared" si="13"/>
        <v>0.79439252336448596</v>
      </c>
      <c r="X15" s="74">
        <f t="shared" si="4"/>
        <v>0.20560747663551404</v>
      </c>
      <c r="Y15" s="73">
        <f t="shared" si="5"/>
        <v>5.8255451713395638</v>
      </c>
      <c r="Z15" s="71">
        <f t="shared" si="14"/>
        <v>4.4691362220334181</v>
      </c>
      <c r="AA15" s="71">
        <f t="shared" si="15"/>
        <v>2.2913640363776442</v>
      </c>
      <c r="AB15" s="71">
        <v>0</v>
      </c>
      <c r="AC15" s="71">
        <f t="shared" si="6"/>
        <v>1.2075803038571154E-2</v>
      </c>
      <c r="AD15" s="74">
        <f t="shared" si="16"/>
        <v>1.2075803038571154E-2</v>
      </c>
      <c r="AE15" s="73">
        <f t="shared" si="29"/>
        <v>1.2363636363636363</v>
      </c>
      <c r="AF15" s="71">
        <f t="shared" si="17"/>
        <v>2.0422629868830895</v>
      </c>
      <c r="AG15" s="71">
        <f t="shared" si="7"/>
        <v>1.668335243037055E-2</v>
      </c>
      <c r="AH15" s="71">
        <f t="shared" si="18"/>
        <v>0.54102682216868747</v>
      </c>
      <c r="AI15" s="74">
        <f t="shared" si="19"/>
        <v>0.55771017459905803</v>
      </c>
      <c r="AJ15" s="73">
        <f t="shared" si="20"/>
        <v>0.32000000000000006</v>
      </c>
      <c r="AK15" s="71">
        <f t="shared" si="21"/>
        <v>1.0389952067320678</v>
      </c>
      <c r="AL15" s="71">
        <f t="shared" si="8"/>
        <v>4.3180441584488496E-3</v>
      </c>
      <c r="AM15" s="71">
        <f t="shared" si="22"/>
        <v>0</v>
      </c>
      <c r="AN15" s="188">
        <f t="shared" si="23"/>
        <v>5.3629634664401016E-2</v>
      </c>
      <c r="AO15" s="74">
        <f t="shared" si="24"/>
        <v>5.7947678822849867E-2</v>
      </c>
      <c r="AP15" s="73">
        <f t="shared" si="25"/>
        <v>7.8755237208072756E-3</v>
      </c>
      <c r="AQ15" s="206">
        <f t="shared" si="9"/>
        <v>1.2075803038571154E-2</v>
      </c>
      <c r="AR15" s="206">
        <f t="shared" si="10"/>
        <v>3.0218089420955812</v>
      </c>
      <c r="AS15" s="71">
        <f t="shared" si="11"/>
        <v>0.12000000000000001</v>
      </c>
      <c r="AT15" s="74">
        <f t="shared" si="12"/>
        <v>3.6299999999999995E-5</v>
      </c>
      <c r="AU15" s="73">
        <f t="shared" si="26"/>
        <v>3.7895302253154384</v>
      </c>
      <c r="AV15" s="71">
        <f t="shared" si="27"/>
        <v>17.12</v>
      </c>
      <c r="AW15" s="74">
        <f t="shared" si="28"/>
        <v>81.876540579915059</v>
      </c>
    </row>
    <row r="16" spans="1:49" x14ac:dyDescent="0.25">
      <c r="Q16">
        <v>9</v>
      </c>
      <c r="R16" s="73">
        <f t="shared" si="0"/>
        <v>53.5</v>
      </c>
      <c r="S16" s="71">
        <f t="shared" si="1"/>
        <v>0.36</v>
      </c>
      <c r="T16" s="71">
        <f t="shared" si="2"/>
        <v>11</v>
      </c>
      <c r="U16" s="74">
        <f t="shared" si="3"/>
        <v>1.7509090909090907</v>
      </c>
      <c r="V16" s="73">
        <f>IF(Variable_Management!$B$20=3,2,IF((S16*R16/T16)&lt;((T16*(1-(T16/R16)))/(2*Lm*Fsw)),1,2))</f>
        <v>2</v>
      </c>
      <c r="W16" s="71">
        <f t="shared" si="13"/>
        <v>0.79439252336448596</v>
      </c>
      <c r="X16" s="74">
        <f t="shared" si="4"/>
        <v>0.20560747663551404</v>
      </c>
      <c r="Y16" s="73">
        <f t="shared" si="5"/>
        <v>5.8255451713395638</v>
      </c>
      <c r="Z16" s="71">
        <f t="shared" ref="Z16:Z79" si="30">CHOOSE(V16,Y16,U16+(0.5*Y16))</f>
        <v>4.6636816765788724</v>
      </c>
      <c r="AA16" s="71">
        <f t="shared" ref="AA16:AA79" si="31">CHOOSE(V16,Z16*SQRT((W16+X16)/3),SQRT((U16^2)+((Y16^2)/12)))</f>
        <v>2.4277075654283213</v>
      </c>
      <c r="AB16" s="71">
        <v>0</v>
      </c>
      <c r="AC16" s="71">
        <f t="shared" si="6"/>
        <v>1.3555657253447186E-2</v>
      </c>
      <c r="AD16" s="74">
        <f t="shared" si="16"/>
        <v>1.3555657253447186E-2</v>
      </c>
      <c r="AE16" s="73">
        <f t="shared" si="29"/>
        <v>1.3909090909090907</v>
      </c>
      <c r="AF16" s="71">
        <f t="shared" si="17"/>
        <v>2.163784202395143</v>
      </c>
      <c r="AG16" s="71">
        <f t="shared" si="7"/>
        <v>1.872784829813914E-2</v>
      </c>
      <c r="AH16" s="71">
        <f t="shared" si="18"/>
        <v>0.60865517493977339</v>
      </c>
      <c r="AI16" s="74">
        <f t="shared" si="19"/>
        <v>0.62738302323791251</v>
      </c>
      <c r="AJ16" s="73">
        <f t="shared" si="20"/>
        <v>0.36</v>
      </c>
      <c r="AK16" s="71">
        <f t="shared" si="21"/>
        <v>1.100818762877487</v>
      </c>
      <c r="AL16" s="71">
        <f t="shared" si="8"/>
        <v>4.8472077948124841E-3</v>
      </c>
      <c r="AM16" s="71">
        <f t="shared" si="22"/>
        <v>0</v>
      </c>
      <c r="AN16" s="188">
        <f t="shared" si="23"/>
        <v>5.5964180118946473E-2</v>
      </c>
      <c r="AO16" s="74">
        <f t="shared" si="24"/>
        <v>6.0811387913758959E-2</v>
      </c>
      <c r="AP16" s="73">
        <f t="shared" si="25"/>
        <v>8.8406460348568611E-3</v>
      </c>
      <c r="AQ16" s="206">
        <f t="shared" si="9"/>
        <v>1.3555657253447186E-2</v>
      </c>
      <c r="AR16" s="206">
        <f t="shared" si="10"/>
        <v>3.0218089420955812</v>
      </c>
      <c r="AS16" s="71">
        <f t="shared" si="11"/>
        <v>0.12000000000000001</v>
      </c>
      <c r="AT16" s="74">
        <f t="shared" si="12"/>
        <v>3.6299999999999995E-5</v>
      </c>
      <c r="AU16" s="73">
        <f t="shared" si="26"/>
        <v>3.8659916137890038</v>
      </c>
      <c r="AV16" s="71">
        <f t="shared" si="27"/>
        <v>19.259999999999998</v>
      </c>
      <c r="AW16" s="74">
        <f t="shared" si="28"/>
        <v>83.282915265419859</v>
      </c>
    </row>
    <row r="17" spans="17:49" x14ac:dyDescent="0.25">
      <c r="Q17">
        <v>10</v>
      </c>
      <c r="R17" s="73">
        <f t="shared" si="0"/>
        <v>53.5</v>
      </c>
      <c r="S17" s="71">
        <f t="shared" si="1"/>
        <v>0.4</v>
      </c>
      <c r="T17" s="71">
        <f t="shared" si="2"/>
        <v>11</v>
      </c>
      <c r="U17" s="74">
        <f t="shared" si="3"/>
        <v>1.9454545454545455</v>
      </c>
      <c r="V17" s="73">
        <f>IF(Variable_Management!$B$20=3,2,IF((S17*R17/T17)&lt;((T17*(1-(T17/R17)))/(2*Lm*Fsw)),1,2))</f>
        <v>2</v>
      </c>
      <c r="W17" s="71">
        <f t="shared" si="13"/>
        <v>0.79439252336448596</v>
      </c>
      <c r="X17" s="74">
        <f t="shared" si="4"/>
        <v>0.20560747663551404</v>
      </c>
      <c r="Y17" s="73">
        <f t="shared" si="5"/>
        <v>5.8255451713395638</v>
      </c>
      <c r="Z17" s="71">
        <f t="shared" si="30"/>
        <v>4.8582271311243277</v>
      </c>
      <c r="AA17" s="71">
        <f t="shared" si="31"/>
        <v>2.5715510430554476</v>
      </c>
      <c r="AB17" s="71">
        <v>0</v>
      </c>
      <c r="AC17" s="71">
        <f t="shared" si="6"/>
        <v>1.5209611964190989E-2</v>
      </c>
      <c r="AD17" s="74">
        <f t="shared" si="16"/>
        <v>1.5209611964190989E-2</v>
      </c>
      <c r="AE17" s="73">
        <f t="shared" si="29"/>
        <v>1.5454545454545454</v>
      </c>
      <c r="AF17" s="71">
        <f t="shared" si="17"/>
        <v>2.291990024603487</v>
      </c>
      <c r="AG17" s="71">
        <f t="shared" si="7"/>
        <v>2.1012873091527572E-2</v>
      </c>
      <c r="AH17" s="71">
        <f t="shared" si="18"/>
        <v>0.67628352771085931</v>
      </c>
      <c r="AI17" s="74">
        <f t="shared" si="19"/>
        <v>0.69729640080238686</v>
      </c>
      <c r="AJ17" s="73">
        <f t="shared" si="20"/>
        <v>0.40000000000000008</v>
      </c>
      <c r="AK17" s="71">
        <f t="shared" si="21"/>
        <v>1.1660430927532939</v>
      </c>
      <c r="AL17" s="71">
        <f t="shared" si="8"/>
        <v>5.4386259766306668E-3</v>
      </c>
      <c r="AM17" s="71">
        <f t="shared" si="22"/>
        <v>0</v>
      </c>
      <c r="AN17" s="188">
        <f t="shared" si="23"/>
        <v>5.829872557349193E-2</v>
      </c>
      <c r="AO17" s="74">
        <f t="shared" si="24"/>
        <v>6.3737351550122598E-2</v>
      </c>
      <c r="AP17" s="73">
        <f t="shared" si="25"/>
        <v>9.9193121505593406E-3</v>
      </c>
      <c r="AQ17" s="206">
        <f t="shared" si="9"/>
        <v>1.5209611964190989E-2</v>
      </c>
      <c r="AR17" s="206">
        <f t="shared" si="10"/>
        <v>3.0218089420955812</v>
      </c>
      <c r="AS17" s="71">
        <f t="shared" si="11"/>
        <v>0.12000000000000001</v>
      </c>
      <c r="AT17" s="74">
        <f t="shared" si="12"/>
        <v>3.6299999999999995E-5</v>
      </c>
      <c r="AU17" s="73">
        <f t="shared" si="26"/>
        <v>3.9432175305270318</v>
      </c>
      <c r="AV17" s="71">
        <f t="shared" si="27"/>
        <v>21.400000000000002</v>
      </c>
      <c r="AW17" s="74">
        <f t="shared" si="28"/>
        <v>84.440738332544981</v>
      </c>
    </row>
    <row r="18" spans="17:49" x14ac:dyDescent="0.25">
      <c r="Q18">
        <v>11</v>
      </c>
      <c r="R18" s="73">
        <f t="shared" si="0"/>
        <v>53.5</v>
      </c>
      <c r="S18" s="71">
        <f t="shared" si="1"/>
        <v>0.44</v>
      </c>
      <c r="T18" s="71">
        <f t="shared" si="2"/>
        <v>11</v>
      </c>
      <c r="U18" s="74">
        <f t="shared" si="3"/>
        <v>2.14</v>
      </c>
      <c r="V18" s="73">
        <f>IF(Variable_Management!$B$20=3,2,IF((S18*R18/T18)&lt;((T18*(1-(T18/R18)))/(2*Lm*Fsw)),1,2))</f>
        <v>2</v>
      </c>
      <c r="W18" s="71">
        <f t="shared" si="13"/>
        <v>0.79439252336448596</v>
      </c>
      <c r="X18" s="74">
        <f t="shared" si="4"/>
        <v>0.20560747663551404</v>
      </c>
      <c r="Y18" s="73">
        <f t="shared" si="5"/>
        <v>5.8255451713395638</v>
      </c>
      <c r="Z18" s="71">
        <f t="shared" si="30"/>
        <v>5.052772585669782</v>
      </c>
      <c r="AA18" s="71">
        <f t="shared" si="31"/>
        <v>2.721705601017459</v>
      </c>
      <c r="AB18" s="71">
        <v>0</v>
      </c>
      <c r="AC18" s="71">
        <f t="shared" si="6"/>
        <v>1.7037667170802559E-2</v>
      </c>
      <c r="AD18" s="74">
        <f t="shared" si="16"/>
        <v>1.7037667170802559E-2</v>
      </c>
      <c r="AE18" s="73">
        <f t="shared" si="29"/>
        <v>1.7</v>
      </c>
      <c r="AF18" s="71">
        <f t="shared" si="17"/>
        <v>2.4258208306950375</v>
      </c>
      <c r="AG18" s="71">
        <f t="shared" si="7"/>
        <v>2.3538426810535848E-2</v>
      </c>
      <c r="AH18" s="71">
        <f t="shared" si="18"/>
        <v>0.74391188048194534</v>
      </c>
      <c r="AI18" s="74">
        <f t="shared" si="19"/>
        <v>0.7674503072924812</v>
      </c>
      <c r="AJ18" s="73">
        <f t="shared" si="20"/>
        <v>0.44000000000000006</v>
      </c>
      <c r="AK18" s="71">
        <f t="shared" si="21"/>
        <v>1.2341291164119941</v>
      </c>
      <c r="AL18" s="71">
        <f t="shared" si="8"/>
        <v>6.0922987039033977E-3</v>
      </c>
      <c r="AM18" s="71">
        <f t="shared" si="22"/>
        <v>0</v>
      </c>
      <c r="AN18" s="188">
        <f t="shared" si="23"/>
        <v>6.0633271028037387E-2</v>
      </c>
      <c r="AO18" s="74">
        <f t="shared" si="24"/>
        <v>6.6725569731940784E-2</v>
      </c>
      <c r="AP18" s="73">
        <f t="shared" si="25"/>
        <v>1.1111522067914712E-2</v>
      </c>
      <c r="AQ18" s="206">
        <f t="shared" si="9"/>
        <v>1.7037667170802559E-2</v>
      </c>
      <c r="AR18" s="206">
        <f t="shared" si="10"/>
        <v>3.0218089420955812</v>
      </c>
      <c r="AS18" s="71">
        <f t="shared" si="11"/>
        <v>0.12000000000000001</v>
      </c>
      <c r="AT18" s="74">
        <f t="shared" si="12"/>
        <v>3.6299999999999995E-5</v>
      </c>
      <c r="AU18" s="73">
        <f t="shared" si="26"/>
        <v>4.0212079755295234</v>
      </c>
      <c r="AV18" s="71">
        <f t="shared" si="27"/>
        <v>23.54</v>
      </c>
      <c r="AW18" s="74">
        <f t="shared" si="28"/>
        <v>85.409899380681026</v>
      </c>
    </row>
    <row r="19" spans="17:49" x14ac:dyDescent="0.25">
      <c r="Q19">
        <v>12</v>
      </c>
      <c r="R19" s="73">
        <f t="shared" si="0"/>
        <v>53.5</v>
      </c>
      <c r="S19" s="71">
        <f t="shared" si="1"/>
        <v>0.48</v>
      </c>
      <c r="T19" s="71">
        <f t="shared" si="2"/>
        <v>11</v>
      </c>
      <c r="U19" s="74">
        <f t="shared" si="3"/>
        <v>2.3345454545454545</v>
      </c>
      <c r="V19" s="73">
        <f>IF(Variable_Management!$B$20=3,2,IF((S19*R19/T19)&lt;((T19*(1-(T19/R19)))/(2*Lm*Fsw)),1,2))</f>
        <v>2</v>
      </c>
      <c r="W19" s="71">
        <f t="shared" si="13"/>
        <v>0.79439252336448596</v>
      </c>
      <c r="X19" s="74">
        <f t="shared" si="4"/>
        <v>0.20560747663551404</v>
      </c>
      <c r="Y19" s="73">
        <f t="shared" si="5"/>
        <v>5.8255451713395638</v>
      </c>
      <c r="Z19" s="71">
        <f t="shared" si="30"/>
        <v>5.2473180402152364</v>
      </c>
      <c r="AA19" s="71">
        <f t="shared" si="31"/>
        <v>2.87718332018463</v>
      </c>
      <c r="AB19" s="71">
        <v>0</v>
      </c>
      <c r="AC19" s="71">
        <f t="shared" si="6"/>
        <v>1.9039822873281896E-2</v>
      </c>
      <c r="AD19" s="74">
        <f t="shared" si="16"/>
        <v>1.9039822873281896E-2</v>
      </c>
      <c r="AE19" s="73">
        <f t="shared" si="29"/>
        <v>1.8545454545454545</v>
      </c>
      <c r="AF19" s="71">
        <f t="shared" si="17"/>
        <v>2.5643961011885401</v>
      </c>
      <c r="AG19" s="71">
        <f t="shared" si="7"/>
        <v>2.6304509455163941E-2</v>
      </c>
      <c r="AH19" s="71">
        <f t="shared" si="18"/>
        <v>0.81154023325303115</v>
      </c>
      <c r="AI19" s="74">
        <f t="shared" si="19"/>
        <v>0.83784474270819509</v>
      </c>
      <c r="AJ19" s="73">
        <f t="shared" si="20"/>
        <v>0.48000000000000004</v>
      </c>
      <c r="AK19" s="71">
        <f t="shared" si="21"/>
        <v>1.3046288721922672</v>
      </c>
      <c r="AL19" s="71">
        <f t="shared" si="8"/>
        <v>6.808225976630668E-3</v>
      </c>
      <c r="AM19" s="71">
        <f t="shared" si="22"/>
        <v>0</v>
      </c>
      <c r="AN19" s="188">
        <f t="shared" si="23"/>
        <v>6.2967816482582845E-2</v>
      </c>
      <c r="AO19" s="74">
        <f t="shared" si="24"/>
        <v>6.9776042459213511E-2</v>
      </c>
      <c r="AP19" s="73">
        <f t="shared" si="25"/>
        <v>1.2417275786922977E-2</v>
      </c>
      <c r="AQ19" s="206">
        <f t="shared" si="9"/>
        <v>1.9039822873281896E-2</v>
      </c>
      <c r="AR19" s="206">
        <f t="shared" si="10"/>
        <v>3.0218089420955812</v>
      </c>
      <c r="AS19" s="71">
        <f t="shared" si="11"/>
        <v>0.12000000000000001</v>
      </c>
      <c r="AT19" s="74">
        <f t="shared" si="12"/>
        <v>3.6299999999999995E-5</v>
      </c>
      <c r="AU19" s="73">
        <f t="shared" si="26"/>
        <v>4.0999629487964766</v>
      </c>
      <c r="AV19" s="71">
        <f t="shared" si="27"/>
        <v>25.68</v>
      </c>
      <c r="AW19" s="74">
        <f t="shared" si="28"/>
        <v>86.232478005946703</v>
      </c>
    </row>
    <row r="20" spans="17:49" x14ac:dyDescent="0.25">
      <c r="Q20">
        <v>13</v>
      </c>
      <c r="R20" s="73">
        <f t="shared" si="0"/>
        <v>53.5</v>
      </c>
      <c r="S20" s="71">
        <f t="shared" si="1"/>
        <v>0.52</v>
      </c>
      <c r="T20" s="71">
        <f t="shared" si="2"/>
        <v>11</v>
      </c>
      <c r="U20" s="74">
        <f t="shared" si="3"/>
        <v>2.5290909090909093</v>
      </c>
      <c r="V20" s="73">
        <f>IF(Variable_Management!$B$20=3,2,IF((S20*R20/T20)&lt;((T20*(1-(T20/R20)))/(2*Lm*Fsw)),1,2))</f>
        <v>2</v>
      </c>
      <c r="W20" s="71">
        <f t="shared" si="13"/>
        <v>0.79439252336448596</v>
      </c>
      <c r="X20" s="74">
        <f t="shared" si="4"/>
        <v>0.20560747663551404</v>
      </c>
      <c r="Y20" s="73">
        <f t="shared" si="5"/>
        <v>5.8255451713395638</v>
      </c>
      <c r="Z20" s="71">
        <f t="shared" si="30"/>
        <v>5.4418634947606908</v>
      </c>
      <c r="AA20" s="71">
        <f t="shared" si="31"/>
        <v>3.0371668056028946</v>
      </c>
      <c r="AB20" s="71">
        <v>0</v>
      </c>
      <c r="AC20" s="71">
        <f t="shared" si="6"/>
        <v>2.1216079071629011E-2</v>
      </c>
      <c r="AD20" s="74">
        <f t="shared" si="16"/>
        <v>2.1216079071629011E-2</v>
      </c>
      <c r="AE20" s="73">
        <f t="shared" si="29"/>
        <v>2.0090909090909093</v>
      </c>
      <c r="AF20" s="71">
        <f t="shared" si="17"/>
        <v>2.7069873025843627</v>
      </c>
      <c r="AG20" s="71">
        <f t="shared" si="7"/>
        <v>2.9311121025411859E-2</v>
      </c>
      <c r="AH20" s="71">
        <f t="shared" si="18"/>
        <v>0.87916858602411729</v>
      </c>
      <c r="AI20" s="74">
        <f t="shared" si="19"/>
        <v>0.90847970704952918</v>
      </c>
      <c r="AJ20" s="73">
        <f t="shared" si="20"/>
        <v>0.52000000000000013</v>
      </c>
      <c r="AK20" s="71">
        <f t="shared" si="21"/>
        <v>1.3771717208478833</v>
      </c>
      <c r="AL20" s="71">
        <f t="shared" si="8"/>
        <v>7.5864077948124813E-3</v>
      </c>
      <c r="AM20" s="71">
        <f t="shared" si="22"/>
        <v>0</v>
      </c>
      <c r="AN20" s="188">
        <f t="shared" si="23"/>
        <v>6.5302361937128295E-2</v>
      </c>
      <c r="AO20" s="74">
        <f t="shared" si="24"/>
        <v>7.2888769731940778E-2</v>
      </c>
      <c r="AP20" s="73">
        <f t="shared" si="25"/>
        <v>1.3836573307584138E-2</v>
      </c>
      <c r="AQ20" s="206">
        <f t="shared" si="9"/>
        <v>2.1216079071629011E-2</v>
      </c>
      <c r="AR20" s="206">
        <f t="shared" si="10"/>
        <v>3.0218089420955812</v>
      </c>
      <c r="AS20" s="71">
        <f t="shared" si="11"/>
        <v>0.12000000000000001</v>
      </c>
      <c r="AT20" s="74">
        <f t="shared" si="12"/>
        <v>3.6299999999999995E-5</v>
      </c>
      <c r="AU20" s="73">
        <f t="shared" si="26"/>
        <v>4.1794824503278933</v>
      </c>
      <c r="AV20" s="71">
        <f t="shared" si="27"/>
        <v>27.82</v>
      </c>
      <c r="AW20" s="74">
        <f t="shared" si="28"/>
        <v>86.938906100073297</v>
      </c>
    </row>
    <row r="21" spans="17:49" x14ac:dyDescent="0.25">
      <c r="Q21">
        <v>14</v>
      </c>
      <c r="R21" s="73">
        <f t="shared" si="0"/>
        <v>53.5</v>
      </c>
      <c r="S21" s="71">
        <f t="shared" si="1"/>
        <v>0.56000000000000005</v>
      </c>
      <c r="T21" s="71">
        <f t="shared" si="2"/>
        <v>11</v>
      </c>
      <c r="U21" s="74">
        <f t="shared" si="3"/>
        <v>2.7236363636363641</v>
      </c>
      <c r="V21" s="73">
        <f>IF(Variable_Management!$B$20=3,2,IF((S21*R21/T21)&lt;((T21*(1-(T21/R21)))/(2*Lm*Fsw)),1,2))</f>
        <v>2</v>
      </c>
      <c r="W21" s="71">
        <f t="shared" si="13"/>
        <v>0.79439252336448596</v>
      </c>
      <c r="X21" s="74">
        <f t="shared" si="4"/>
        <v>0.20560747663551404</v>
      </c>
      <c r="Y21" s="73">
        <f t="shared" si="5"/>
        <v>5.8255451713395638</v>
      </c>
      <c r="Z21" s="71">
        <f t="shared" si="30"/>
        <v>5.636408949306146</v>
      </c>
      <c r="AA21" s="71">
        <f t="shared" si="31"/>
        <v>3.2009805403863556</v>
      </c>
      <c r="AB21" s="71">
        <v>0</v>
      </c>
      <c r="AC21" s="71">
        <f t="shared" si="6"/>
        <v>2.3566435765843885E-2</v>
      </c>
      <c r="AD21" s="74">
        <f t="shared" si="16"/>
        <v>2.3566435765843885E-2</v>
      </c>
      <c r="AE21" s="73">
        <f t="shared" si="29"/>
        <v>2.163636363636364</v>
      </c>
      <c r="AF21" s="71">
        <f t="shared" si="17"/>
        <v>2.852992355461176</v>
      </c>
      <c r="AG21" s="71">
        <f t="shared" si="7"/>
        <v>3.2558261521279643E-2</v>
      </c>
      <c r="AH21" s="71">
        <f t="shared" si="18"/>
        <v>0.94679693879520332</v>
      </c>
      <c r="AI21" s="74">
        <f t="shared" si="19"/>
        <v>0.97935520031648293</v>
      </c>
      <c r="AJ21" s="73">
        <f t="shared" si="20"/>
        <v>0.56000000000000016</v>
      </c>
      <c r="AK21" s="71">
        <f t="shared" si="21"/>
        <v>1.4514513562679985</v>
      </c>
      <c r="AL21" s="71">
        <f t="shared" si="8"/>
        <v>8.4268441584488506E-3</v>
      </c>
      <c r="AM21" s="71">
        <f t="shared" si="22"/>
        <v>0</v>
      </c>
      <c r="AN21" s="188">
        <f t="shared" si="23"/>
        <v>6.7636907391673759E-2</v>
      </c>
      <c r="AO21" s="74">
        <f t="shared" si="24"/>
        <v>7.6063751550122613E-2</v>
      </c>
      <c r="AP21" s="73">
        <f t="shared" si="25"/>
        <v>1.5369414629898187E-2</v>
      </c>
      <c r="AQ21" s="206">
        <f t="shared" si="9"/>
        <v>2.3566435765843885E-2</v>
      </c>
      <c r="AR21" s="206">
        <f t="shared" si="10"/>
        <v>3.0218089420955812</v>
      </c>
      <c r="AS21" s="71">
        <f t="shared" si="11"/>
        <v>0.12000000000000001</v>
      </c>
      <c r="AT21" s="74">
        <f t="shared" si="12"/>
        <v>3.6299999999999995E-5</v>
      </c>
      <c r="AU21" s="73">
        <f t="shared" si="26"/>
        <v>4.2597664801237727</v>
      </c>
      <c r="AV21" s="71">
        <f t="shared" si="27"/>
        <v>29.960000000000004</v>
      </c>
      <c r="AW21" s="74">
        <f t="shared" si="28"/>
        <v>87.551737144091788</v>
      </c>
    </row>
    <row r="22" spans="17:49" x14ac:dyDescent="0.25">
      <c r="Q22">
        <v>15</v>
      </c>
      <c r="R22" s="73">
        <f t="shared" si="0"/>
        <v>53.5</v>
      </c>
      <c r="S22" s="71">
        <f t="shared" si="1"/>
        <v>0.6</v>
      </c>
      <c r="T22" s="71">
        <f t="shared" si="2"/>
        <v>11</v>
      </c>
      <c r="U22" s="74">
        <f t="shared" si="3"/>
        <v>2.9181818181818184</v>
      </c>
      <c r="V22" s="73">
        <f>IF(Variable_Management!$B$20=3,2,IF((S22*R22/T22)&lt;((T22*(1-(T22/R22)))/(2*Lm*Fsw)),1,2))</f>
        <v>2</v>
      </c>
      <c r="W22" s="71">
        <f t="shared" si="13"/>
        <v>0.79439252336448596</v>
      </c>
      <c r="X22" s="74">
        <f t="shared" si="4"/>
        <v>0.20560747663551404</v>
      </c>
      <c r="Y22" s="73">
        <f t="shared" si="5"/>
        <v>5.8255451713395638</v>
      </c>
      <c r="Z22" s="71">
        <f t="shared" si="30"/>
        <v>5.8309544038516004</v>
      </c>
      <c r="AA22" s="71">
        <f t="shared" si="31"/>
        <v>3.3680656915471161</v>
      </c>
      <c r="AB22" s="71">
        <v>0</v>
      </c>
      <c r="AC22" s="71">
        <f t="shared" si="6"/>
        <v>2.6090892955926533E-2</v>
      </c>
      <c r="AD22" s="74">
        <f t="shared" si="16"/>
        <v>2.6090892955926533E-2</v>
      </c>
      <c r="AE22" s="73">
        <f t="shared" si="29"/>
        <v>2.3181818181818183</v>
      </c>
      <c r="AF22" s="71">
        <f t="shared" si="17"/>
        <v>3.0019131792395015</v>
      </c>
      <c r="AG22" s="71">
        <f t="shared" si="7"/>
        <v>3.604593094276725E-2</v>
      </c>
      <c r="AH22" s="71">
        <f t="shared" si="18"/>
        <v>1.014425291566289</v>
      </c>
      <c r="AI22" s="74">
        <f t="shared" si="19"/>
        <v>1.0504712225090562</v>
      </c>
      <c r="AJ22" s="73">
        <f t="shared" si="20"/>
        <v>0.60000000000000009</v>
      </c>
      <c r="AK22" s="71">
        <f t="shared" si="21"/>
        <v>1.5272143814425465</v>
      </c>
      <c r="AL22" s="71">
        <f t="shared" si="8"/>
        <v>9.3295350675397602E-3</v>
      </c>
      <c r="AM22" s="71">
        <f t="shared" si="22"/>
        <v>0</v>
      </c>
      <c r="AN22" s="188">
        <f t="shared" si="23"/>
        <v>6.9971452846219209E-2</v>
      </c>
      <c r="AO22" s="74">
        <f t="shared" si="24"/>
        <v>7.9300987913758975E-2</v>
      </c>
      <c r="AP22" s="73">
        <f t="shared" si="25"/>
        <v>1.7015799753865132E-2</v>
      </c>
      <c r="AQ22" s="206">
        <f t="shared" si="9"/>
        <v>2.6090892955926533E-2</v>
      </c>
      <c r="AR22" s="206">
        <f t="shared" si="10"/>
        <v>3.0218089420955812</v>
      </c>
      <c r="AS22" s="71">
        <f t="shared" si="11"/>
        <v>0.12000000000000001</v>
      </c>
      <c r="AT22" s="74">
        <f t="shared" si="12"/>
        <v>3.6299999999999995E-5</v>
      </c>
      <c r="AU22" s="73">
        <f t="shared" si="26"/>
        <v>4.3408150381841146</v>
      </c>
      <c r="AV22" s="71">
        <f t="shared" si="27"/>
        <v>32.1</v>
      </c>
      <c r="AW22" s="74">
        <f t="shared" si="28"/>
        <v>88.088040748716423</v>
      </c>
    </row>
    <row r="23" spans="17:49" x14ac:dyDescent="0.25">
      <c r="Q23">
        <v>16</v>
      </c>
      <c r="R23" s="73">
        <f t="shared" si="0"/>
        <v>53.5</v>
      </c>
      <c r="S23" s="71">
        <f t="shared" si="1"/>
        <v>0.64</v>
      </c>
      <c r="T23" s="71">
        <f t="shared" si="2"/>
        <v>11</v>
      </c>
      <c r="U23" s="74">
        <f t="shared" si="3"/>
        <v>3.1127272727272728</v>
      </c>
      <c r="V23" s="73">
        <f>IF(Variable_Management!$B$20=3,2,IF((S23*R23/T23)&lt;((T23*(1-(T23/R23)))/(2*Lm*Fsw)),1,2))</f>
        <v>2</v>
      </c>
      <c r="W23" s="71">
        <f t="shared" si="13"/>
        <v>0.79439252336448596</v>
      </c>
      <c r="X23" s="74">
        <f t="shared" si="4"/>
        <v>0.20560747663551404</v>
      </c>
      <c r="Y23" s="73">
        <f t="shared" si="5"/>
        <v>5.8255451713395638</v>
      </c>
      <c r="Z23" s="71">
        <f t="shared" si="30"/>
        <v>6.0254998583970547</v>
      </c>
      <c r="AA23" s="71">
        <f t="shared" si="31"/>
        <v>3.5379587975257678</v>
      </c>
      <c r="AB23" s="71">
        <v>0</v>
      </c>
      <c r="AC23" s="71">
        <f t="shared" si="6"/>
        <v>2.8789450641876949E-2</v>
      </c>
      <c r="AD23" s="74">
        <f t="shared" si="16"/>
        <v>2.8789450641876949E-2</v>
      </c>
      <c r="AE23" s="73">
        <f t="shared" si="29"/>
        <v>2.4727272727272727</v>
      </c>
      <c r="AF23" s="71">
        <f t="shared" si="17"/>
        <v>3.1533366966546201</v>
      </c>
      <c r="AG23" s="71">
        <f t="shared" si="7"/>
        <v>3.9774129289874685E-2</v>
      </c>
      <c r="AH23" s="71">
        <f t="shared" si="18"/>
        <v>1.0820536443373749</v>
      </c>
      <c r="AI23" s="74">
        <f t="shared" si="19"/>
        <v>1.1218277736272497</v>
      </c>
      <c r="AJ23" s="73">
        <f t="shared" si="20"/>
        <v>0.64000000000000012</v>
      </c>
      <c r="AK23" s="71">
        <f t="shared" si="21"/>
        <v>1.6042506445444564</v>
      </c>
      <c r="AL23" s="71">
        <f t="shared" si="8"/>
        <v>1.0294480522085217E-2</v>
      </c>
      <c r="AM23" s="71">
        <f t="shared" si="22"/>
        <v>0</v>
      </c>
      <c r="AN23" s="188">
        <f t="shared" si="23"/>
        <v>7.230599830076466E-2</v>
      </c>
      <c r="AO23" s="74">
        <f t="shared" si="24"/>
        <v>8.2600478822849877E-2</v>
      </c>
      <c r="AP23" s="73">
        <f t="shared" si="25"/>
        <v>1.8775728679484967E-2</v>
      </c>
      <c r="AQ23" s="206">
        <f t="shared" si="9"/>
        <v>2.8789450641876949E-2</v>
      </c>
      <c r="AR23" s="206">
        <f t="shared" si="10"/>
        <v>3.0218089420955812</v>
      </c>
      <c r="AS23" s="71">
        <f t="shared" si="11"/>
        <v>0.12000000000000001</v>
      </c>
      <c r="AT23" s="74">
        <f t="shared" si="12"/>
        <v>3.6299999999999995E-5</v>
      </c>
      <c r="AU23" s="73">
        <f t="shared" si="26"/>
        <v>4.4226281245089201</v>
      </c>
      <c r="AV23" s="71">
        <f t="shared" si="27"/>
        <v>34.24</v>
      </c>
      <c r="AW23" s="74">
        <f t="shared" si="28"/>
        <v>88.560973893791413</v>
      </c>
    </row>
    <row r="24" spans="17:49" x14ac:dyDescent="0.25">
      <c r="Q24">
        <v>17</v>
      </c>
      <c r="R24" s="73">
        <f t="shared" si="0"/>
        <v>53.5</v>
      </c>
      <c r="S24" s="71">
        <f t="shared" si="1"/>
        <v>0.68</v>
      </c>
      <c r="T24" s="71">
        <f t="shared" si="2"/>
        <v>11</v>
      </c>
      <c r="U24" s="74">
        <f t="shared" si="3"/>
        <v>3.3072727272727276</v>
      </c>
      <c r="V24" s="73">
        <f>IF(Variable_Management!$B$20=3,2,IF((S24*R24/T24)&lt;((T24*(1-(T24/R24)))/(2*Lm*Fsw)),1,2))</f>
        <v>2</v>
      </c>
      <c r="W24" s="71">
        <f t="shared" si="13"/>
        <v>0.79439252336448596</v>
      </c>
      <c r="X24" s="74">
        <f t="shared" si="4"/>
        <v>0.20560747663551404</v>
      </c>
      <c r="Y24" s="73">
        <f t="shared" si="5"/>
        <v>5.8255451713395638</v>
      </c>
      <c r="Z24" s="71">
        <f t="shared" si="30"/>
        <v>6.22004531294251</v>
      </c>
      <c r="AA24" s="71">
        <f t="shared" si="31"/>
        <v>3.7102741504061121</v>
      </c>
      <c r="AB24" s="71">
        <v>0</v>
      </c>
      <c r="AC24" s="71">
        <f t="shared" si="6"/>
        <v>3.1662108823695134E-2</v>
      </c>
      <c r="AD24" s="74">
        <f t="shared" si="16"/>
        <v>3.1662108823695134E-2</v>
      </c>
      <c r="AE24" s="73">
        <f t="shared" si="29"/>
        <v>2.6272727272727274</v>
      </c>
      <c r="AF24" s="71">
        <f t="shared" si="17"/>
        <v>3.306919131253514</v>
      </c>
      <c r="AG24" s="71">
        <f t="shared" si="7"/>
        <v>4.3742856562601989E-2</v>
      </c>
      <c r="AH24" s="71">
        <f t="shared" si="18"/>
        <v>1.1496819971084611</v>
      </c>
      <c r="AI24" s="74">
        <f t="shared" si="19"/>
        <v>1.193424853671063</v>
      </c>
      <c r="AJ24" s="73">
        <f t="shared" si="20"/>
        <v>0.68000000000000016</v>
      </c>
      <c r="AK24" s="71">
        <f t="shared" si="21"/>
        <v>1.682385250328029</v>
      </c>
      <c r="AL24" s="71">
        <f t="shared" si="8"/>
        <v>1.1321680522085219E-2</v>
      </c>
      <c r="AM24" s="71">
        <f t="shared" si="22"/>
        <v>0</v>
      </c>
      <c r="AN24" s="188">
        <f t="shared" si="23"/>
        <v>7.4640543755310124E-2</v>
      </c>
      <c r="AO24" s="74">
        <f t="shared" si="24"/>
        <v>8.5962224277395347E-2</v>
      </c>
      <c r="AP24" s="73">
        <f t="shared" si="25"/>
        <v>2.0649201406757696E-2</v>
      </c>
      <c r="AQ24" s="206">
        <f t="shared" si="9"/>
        <v>3.1662108823695134E-2</v>
      </c>
      <c r="AR24" s="206">
        <f t="shared" si="10"/>
        <v>3.0218089420955812</v>
      </c>
      <c r="AS24" s="71">
        <f t="shared" si="11"/>
        <v>0.12000000000000001</v>
      </c>
      <c r="AT24" s="74">
        <f t="shared" si="12"/>
        <v>3.6299999999999995E-5</v>
      </c>
      <c r="AU24" s="73">
        <f t="shared" si="26"/>
        <v>4.5052057390981872</v>
      </c>
      <c r="AV24" s="71">
        <f t="shared" si="27"/>
        <v>36.380000000000003</v>
      </c>
      <c r="AW24" s="74">
        <f t="shared" si="28"/>
        <v>88.980841217120513</v>
      </c>
    </row>
    <row r="25" spans="17:49" x14ac:dyDescent="0.25">
      <c r="Q25">
        <v>18</v>
      </c>
      <c r="R25" s="73">
        <f t="shared" si="0"/>
        <v>53.5</v>
      </c>
      <c r="S25" s="71">
        <f t="shared" si="1"/>
        <v>0.72</v>
      </c>
      <c r="T25" s="71">
        <f t="shared" si="2"/>
        <v>11</v>
      </c>
      <c r="U25" s="74">
        <f t="shared" si="3"/>
        <v>3.5018181818181815</v>
      </c>
      <c r="V25" s="73">
        <f>IF(Variable_Management!$B$20=3,2,IF((S25*R25/T25)&lt;((T25*(1-(T25/R25)))/(2*Lm*Fsw)),1,2))</f>
        <v>2</v>
      </c>
      <c r="W25" s="71">
        <f t="shared" si="13"/>
        <v>0.79439252336448596</v>
      </c>
      <c r="X25" s="74">
        <f t="shared" si="4"/>
        <v>0.20560747663551404</v>
      </c>
      <c r="Y25" s="73">
        <f t="shared" si="5"/>
        <v>5.8255451713395638</v>
      </c>
      <c r="Z25" s="71">
        <f t="shared" si="30"/>
        <v>6.4145907674879634</v>
      </c>
      <c r="AA25" s="71">
        <f t="shared" si="31"/>
        <v>3.8846894286573548</v>
      </c>
      <c r="AB25" s="71">
        <v>0</v>
      </c>
      <c r="AC25" s="71">
        <f t="shared" si="6"/>
        <v>3.4708867501381073E-2</v>
      </c>
      <c r="AD25" s="74">
        <f t="shared" si="16"/>
        <v>3.4708867501381073E-2</v>
      </c>
      <c r="AE25" s="73">
        <f t="shared" si="29"/>
        <v>2.7818181818181813</v>
      </c>
      <c r="AF25" s="71">
        <f t="shared" si="17"/>
        <v>3.4623732020446987</v>
      </c>
      <c r="AG25" s="71">
        <f t="shared" si="7"/>
        <v>4.7952112760949045E-2</v>
      </c>
      <c r="AH25" s="71">
        <f t="shared" si="18"/>
        <v>1.2173103498795468</v>
      </c>
      <c r="AI25" s="74">
        <f t="shared" si="19"/>
        <v>1.2652624626404958</v>
      </c>
      <c r="AJ25" s="73">
        <f t="shared" si="20"/>
        <v>0.72</v>
      </c>
      <c r="AK25" s="71">
        <f t="shared" si="21"/>
        <v>1.7614720454452117</v>
      </c>
      <c r="AL25" s="71">
        <f t="shared" si="8"/>
        <v>1.2411135067539754E-2</v>
      </c>
      <c r="AM25" s="71">
        <f t="shared" si="22"/>
        <v>0</v>
      </c>
      <c r="AN25" s="188">
        <f t="shared" si="23"/>
        <v>7.697508920985556E-2</v>
      </c>
      <c r="AO25" s="74">
        <f t="shared" si="24"/>
        <v>8.9386224277395315E-2</v>
      </c>
      <c r="AP25" s="73">
        <f t="shared" si="25"/>
        <v>2.2636217935683309E-2</v>
      </c>
      <c r="AQ25" s="206">
        <f t="shared" si="9"/>
        <v>3.4708867501381073E-2</v>
      </c>
      <c r="AR25" s="206">
        <f t="shared" si="10"/>
        <v>3.0218089420955812</v>
      </c>
      <c r="AS25" s="71">
        <f t="shared" si="11"/>
        <v>0.12000000000000001</v>
      </c>
      <c r="AT25" s="74">
        <f t="shared" si="12"/>
        <v>3.6299999999999995E-5</v>
      </c>
      <c r="AU25" s="73">
        <f t="shared" si="26"/>
        <v>4.5885478819519179</v>
      </c>
      <c r="AV25" s="71">
        <f t="shared" si="27"/>
        <v>38.519999999999996</v>
      </c>
      <c r="AW25" s="74">
        <f t="shared" si="28"/>
        <v>89.355828235000729</v>
      </c>
    </row>
    <row r="26" spans="17:49" x14ac:dyDescent="0.25">
      <c r="Q26">
        <v>19</v>
      </c>
      <c r="R26" s="73">
        <f t="shared" si="0"/>
        <v>53.5</v>
      </c>
      <c r="S26" s="71">
        <f t="shared" si="1"/>
        <v>0.76</v>
      </c>
      <c r="T26" s="71">
        <f t="shared" si="2"/>
        <v>11</v>
      </c>
      <c r="U26" s="74">
        <f t="shared" si="3"/>
        <v>3.6963636363636367</v>
      </c>
      <c r="V26" s="73">
        <f>IF(Variable_Management!$B$20=3,2,IF((S26*R26/T26)&lt;((T26*(1-(T26/R26)))/(2*Lm*Fsw)),1,2))</f>
        <v>2</v>
      </c>
      <c r="W26" s="71">
        <f t="shared" si="13"/>
        <v>0.79439252336448596</v>
      </c>
      <c r="X26" s="74">
        <f t="shared" si="4"/>
        <v>0.20560747663551404</v>
      </c>
      <c r="Y26" s="73">
        <f t="shared" si="5"/>
        <v>5.8255451713395638</v>
      </c>
      <c r="Z26" s="71">
        <f t="shared" si="30"/>
        <v>6.6091362220334187</v>
      </c>
      <c r="AA26" s="71">
        <f t="shared" si="31"/>
        <v>4.0609340687631477</v>
      </c>
      <c r="AB26" s="71">
        <v>0</v>
      </c>
      <c r="AC26" s="71">
        <f t="shared" si="6"/>
        <v>3.7929726674934786E-2</v>
      </c>
      <c r="AD26" s="74">
        <f t="shared" si="16"/>
        <v>3.7929726674934786E-2</v>
      </c>
      <c r="AE26" s="73">
        <f t="shared" si="29"/>
        <v>2.9363636363636365</v>
      </c>
      <c r="AF26" s="71">
        <f t="shared" si="17"/>
        <v>3.6194577592823221</v>
      </c>
      <c r="AG26" s="71">
        <f t="shared" si="7"/>
        <v>5.2401897884916032E-2</v>
      </c>
      <c r="AH26" s="71">
        <f t="shared" si="18"/>
        <v>1.2849387026506329</v>
      </c>
      <c r="AI26" s="74">
        <f t="shared" si="19"/>
        <v>1.337340600535549</v>
      </c>
      <c r="AJ26" s="73">
        <f t="shared" si="20"/>
        <v>0.76000000000000012</v>
      </c>
      <c r="AK26" s="71">
        <f t="shared" si="21"/>
        <v>1.8413883456816529</v>
      </c>
      <c r="AL26" s="71">
        <f t="shared" si="8"/>
        <v>1.3562844158448857E-2</v>
      </c>
      <c r="AM26" s="71">
        <f t="shared" si="22"/>
        <v>0</v>
      </c>
      <c r="AN26" s="188">
        <f t="shared" si="23"/>
        <v>7.9309634664401024E-2</v>
      </c>
      <c r="AO26" s="74">
        <f t="shared" si="24"/>
        <v>9.287247882284988E-2</v>
      </c>
      <c r="AP26" s="73">
        <f t="shared" si="25"/>
        <v>2.4736778266261819E-2</v>
      </c>
      <c r="AQ26" s="206">
        <f t="shared" si="9"/>
        <v>3.7929726674934786E-2</v>
      </c>
      <c r="AR26" s="206">
        <f t="shared" si="10"/>
        <v>3.0218089420955812</v>
      </c>
      <c r="AS26" s="71">
        <f t="shared" si="11"/>
        <v>0.12000000000000001</v>
      </c>
      <c r="AT26" s="74">
        <f t="shared" si="12"/>
        <v>3.6299999999999995E-5</v>
      </c>
      <c r="AU26" s="73">
        <f t="shared" si="26"/>
        <v>4.672654553070112</v>
      </c>
      <c r="AV26" s="71">
        <f t="shared" si="27"/>
        <v>40.660000000000004</v>
      </c>
      <c r="AW26" s="74">
        <f t="shared" si="28"/>
        <v>89.69251944511673</v>
      </c>
    </row>
    <row r="27" spans="17:49" x14ac:dyDescent="0.25">
      <c r="Q27">
        <v>20</v>
      </c>
      <c r="R27" s="73">
        <f t="shared" si="0"/>
        <v>53.5</v>
      </c>
      <c r="S27" s="71">
        <f t="shared" si="1"/>
        <v>0.8</v>
      </c>
      <c r="T27" s="71">
        <f t="shared" si="2"/>
        <v>11</v>
      </c>
      <c r="U27" s="74">
        <f t="shared" si="3"/>
        <v>3.8909090909090911</v>
      </c>
      <c r="V27" s="73">
        <f>IF(Variable_Management!$B$20=3,2,IF((S27*R27/T27)&lt;((T27*(1-(T27/R27)))/(2*Lm*Fsw)),1,2))</f>
        <v>2</v>
      </c>
      <c r="W27" s="71">
        <f t="shared" si="13"/>
        <v>0.79439252336448596</v>
      </c>
      <c r="X27" s="74">
        <f t="shared" si="4"/>
        <v>0.20560747663551404</v>
      </c>
      <c r="Y27" s="73">
        <f t="shared" si="5"/>
        <v>5.8255451713395638</v>
      </c>
      <c r="Z27" s="71">
        <f t="shared" si="30"/>
        <v>6.803681676578873</v>
      </c>
      <c r="AA27" s="71">
        <f t="shared" si="31"/>
        <v>4.2387798872233056</v>
      </c>
      <c r="AB27" s="71">
        <v>0</v>
      </c>
      <c r="AC27" s="71">
        <f t="shared" si="6"/>
        <v>4.1324686344356279E-2</v>
      </c>
      <c r="AD27" s="74">
        <f t="shared" si="16"/>
        <v>4.1324686344356279E-2</v>
      </c>
      <c r="AE27" s="73">
        <f t="shared" si="29"/>
        <v>3.0909090909090908</v>
      </c>
      <c r="AF27" s="71">
        <f t="shared" si="17"/>
        <v>3.7779694259781533</v>
      </c>
      <c r="AG27" s="71">
        <f t="shared" si="7"/>
        <v>5.7092211934502791E-2</v>
      </c>
      <c r="AH27" s="71">
        <f t="shared" si="18"/>
        <v>1.3525670554217186</v>
      </c>
      <c r="AI27" s="74">
        <f t="shared" si="19"/>
        <v>1.4096592673562214</v>
      </c>
      <c r="AJ27" s="73">
        <f t="shared" si="20"/>
        <v>0.80000000000000016</v>
      </c>
      <c r="AK27" s="71">
        <f t="shared" si="21"/>
        <v>1.9220306836008425</v>
      </c>
      <c r="AL27" s="71">
        <f t="shared" si="8"/>
        <v>1.4776807794812488E-2</v>
      </c>
      <c r="AM27" s="71">
        <f t="shared" si="22"/>
        <v>0</v>
      </c>
      <c r="AN27" s="188">
        <f t="shared" si="23"/>
        <v>8.1644180118946474E-2</v>
      </c>
      <c r="AO27" s="74">
        <f t="shared" si="24"/>
        <v>9.6420987913758957E-2</v>
      </c>
      <c r="AP27" s="73">
        <f t="shared" si="25"/>
        <v>2.6950882398493227E-2</v>
      </c>
      <c r="AQ27" s="206">
        <f t="shared" si="9"/>
        <v>4.1324686344356279E-2</v>
      </c>
      <c r="AR27" s="206">
        <f t="shared" si="10"/>
        <v>3.0218089420955812</v>
      </c>
      <c r="AS27" s="71">
        <f t="shared" si="11"/>
        <v>0.12000000000000001</v>
      </c>
      <c r="AT27" s="74">
        <f t="shared" si="12"/>
        <v>3.6299999999999995E-5</v>
      </c>
      <c r="AU27" s="73">
        <f t="shared" si="26"/>
        <v>4.7575257524527679</v>
      </c>
      <c r="AV27" s="71">
        <f t="shared" si="27"/>
        <v>42.800000000000004</v>
      </c>
      <c r="AW27" s="74">
        <f t="shared" si="28"/>
        <v>89.996271510808356</v>
      </c>
    </row>
    <row r="28" spans="17:49" x14ac:dyDescent="0.25">
      <c r="Q28">
        <v>21</v>
      </c>
      <c r="R28" s="73">
        <f t="shared" si="0"/>
        <v>53.5</v>
      </c>
      <c r="S28" s="71">
        <f t="shared" si="1"/>
        <v>0.84</v>
      </c>
      <c r="T28" s="71">
        <f t="shared" si="2"/>
        <v>11</v>
      </c>
      <c r="U28" s="74">
        <f t="shared" si="3"/>
        <v>4.085454545454545</v>
      </c>
      <c r="V28" s="73">
        <f>IF(Variable_Management!$B$20=3,2,IF((S28*R28/T28)&lt;((T28*(1-(T28/R28)))/(2*Lm*Fsw)),1,2))</f>
        <v>2</v>
      </c>
      <c r="W28" s="71">
        <f t="shared" si="13"/>
        <v>0.79439252336448596</v>
      </c>
      <c r="X28" s="74">
        <f t="shared" si="4"/>
        <v>0.20560747663551404</v>
      </c>
      <c r="Y28" s="73">
        <f t="shared" si="5"/>
        <v>5.8255451713395638</v>
      </c>
      <c r="Z28" s="71">
        <f t="shared" si="30"/>
        <v>6.9982271311243274</v>
      </c>
      <c r="AA28" s="71">
        <f t="shared" si="31"/>
        <v>4.4180335242712916</v>
      </c>
      <c r="AB28" s="71">
        <v>0</v>
      </c>
      <c r="AC28" s="71">
        <f t="shared" si="6"/>
        <v>4.4893746509645518E-2</v>
      </c>
      <c r="AD28" s="74">
        <f t="shared" si="16"/>
        <v>4.4893746509645518E-2</v>
      </c>
      <c r="AE28" s="73">
        <f t="shared" si="29"/>
        <v>3.2454545454545451</v>
      </c>
      <c r="AF28" s="71">
        <f t="shared" si="17"/>
        <v>3.9377358630852006</v>
      </c>
      <c r="AG28" s="71">
        <f t="shared" si="7"/>
        <v>6.2023054909709399E-2</v>
      </c>
      <c r="AH28" s="71">
        <f t="shared" si="18"/>
        <v>1.4201954081928043</v>
      </c>
      <c r="AI28" s="74">
        <f t="shared" si="19"/>
        <v>1.4822184631025137</v>
      </c>
      <c r="AJ28" s="73">
        <f t="shared" si="20"/>
        <v>0.84</v>
      </c>
      <c r="AK28" s="71">
        <f t="shared" si="21"/>
        <v>2.0033113822263546</v>
      </c>
      <c r="AL28" s="71">
        <f t="shared" si="8"/>
        <v>1.6053025976630671E-2</v>
      </c>
      <c r="AM28" s="71">
        <f t="shared" si="22"/>
        <v>0</v>
      </c>
      <c r="AN28" s="188">
        <f t="shared" si="23"/>
        <v>8.3978725573491925E-2</v>
      </c>
      <c r="AO28" s="74">
        <f t="shared" si="24"/>
        <v>0.10003175155012259</v>
      </c>
      <c r="AP28" s="73">
        <f t="shared" si="25"/>
        <v>2.9278530332377515E-2</v>
      </c>
      <c r="AQ28" s="206">
        <f t="shared" si="9"/>
        <v>4.4893746509645518E-2</v>
      </c>
      <c r="AR28" s="206">
        <f t="shared" si="10"/>
        <v>3.0218089420955812</v>
      </c>
      <c r="AS28" s="71">
        <f t="shared" si="11"/>
        <v>0.12000000000000001</v>
      </c>
      <c r="AT28" s="74">
        <f t="shared" si="12"/>
        <v>3.6299999999999995E-5</v>
      </c>
      <c r="AU28" s="73">
        <f t="shared" si="26"/>
        <v>4.8431614800998863</v>
      </c>
      <c r="AV28" s="71">
        <f t="shared" si="27"/>
        <v>44.94</v>
      </c>
      <c r="AW28" s="74">
        <f t="shared" si="28"/>
        <v>90.271486711353461</v>
      </c>
    </row>
    <row r="29" spans="17:49" x14ac:dyDescent="0.25">
      <c r="Q29">
        <v>22</v>
      </c>
      <c r="R29" s="73">
        <f t="shared" si="0"/>
        <v>53.5</v>
      </c>
      <c r="S29" s="71">
        <f t="shared" si="1"/>
        <v>0.88</v>
      </c>
      <c r="T29" s="71">
        <f t="shared" si="2"/>
        <v>11</v>
      </c>
      <c r="U29" s="74">
        <f t="shared" si="3"/>
        <v>4.28</v>
      </c>
      <c r="V29" s="73">
        <f>IF(Variable_Management!$B$20=3,2,IF((S29*R29/T29)&lt;((T29*(1-(T29/R29)))/(2*Lm*Fsw)),1,2))</f>
        <v>2</v>
      </c>
      <c r="W29" s="71">
        <f t="shared" si="13"/>
        <v>0.79439252336448596</v>
      </c>
      <c r="X29" s="74">
        <f t="shared" si="4"/>
        <v>0.20560747663551404</v>
      </c>
      <c r="Y29" s="73">
        <f t="shared" si="5"/>
        <v>5.8255451713395638</v>
      </c>
      <c r="Z29" s="71">
        <f t="shared" si="30"/>
        <v>7.1927725856697826</v>
      </c>
      <c r="AA29" s="71">
        <f t="shared" si="31"/>
        <v>4.5985303498628571</v>
      </c>
      <c r="AB29" s="71">
        <v>0</v>
      </c>
      <c r="AC29" s="71">
        <f t="shared" si="6"/>
        <v>4.863690717080256E-2</v>
      </c>
      <c r="AD29" s="74">
        <f t="shared" si="16"/>
        <v>4.863690717080256E-2</v>
      </c>
      <c r="AE29" s="73">
        <f t="shared" si="29"/>
        <v>3.4</v>
      </c>
      <c r="AF29" s="71">
        <f t="shared" si="17"/>
        <v>4.0986103379845664</v>
      </c>
      <c r="AG29" s="71">
        <f t="shared" si="7"/>
        <v>6.7194426810535848E-2</v>
      </c>
      <c r="AH29" s="71">
        <f t="shared" si="18"/>
        <v>1.4878237609638907</v>
      </c>
      <c r="AI29" s="74">
        <f t="shared" si="19"/>
        <v>1.5550181877744265</v>
      </c>
      <c r="AJ29" s="73">
        <f t="shared" si="20"/>
        <v>0.88000000000000012</v>
      </c>
      <c r="AK29" s="71">
        <f t="shared" si="21"/>
        <v>2.0851557917757249</v>
      </c>
      <c r="AL29" s="71">
        <f t="shared" si="8"/>
        <v>1.7391498703903403E-2</v>
      </c>
      <c r="AM29" s="71">
        <f t="shared" si="22"/>
        <v>0</v>
      </c>
      <c r="AN29" s="188">
        <f t="shared" si="23"/>
        <v>8.6313271028037389E-2</v>
      </c>
      <c r="AO29" s="74">
        <f t="shared" si="24"/>
        <v>0.10370476973194079</v>
      </c>
      <c r="AP29" s="73">
        <f t="shared" si="25"/>
        <v>3.1719722067914714E-2</v>
      </c>
      <c r="AQ29" s="206">
        <f t="shared" si="9"/>
        <v>4.863690717080256E-2</v>
      </c>
      <c r="AR29" s="206">
        <f t="shared" si="10"/>
        <v>3.0218089420955812</v>
      </c>
      <c r="AS29" s="71">
        <f t="shared" si="11"/>
        <v>0.12000000000000001</v>
      </c>
      <c r="AT29" s="74">
        <f t="shared" si="12"/>
        <v>3.6299999999999995E-5</v>
      </c>
      <c r="AU29" s="73">
        <f t="shared" si="26"/>
        <v>4.9295617360114683</v>
      </c>
      <c r="AV29" s="71">
        <f t="shared" si="27"/>
        <v>47.08</v>
      </c>
      <c r="AW29" s="74">
        <f t="shared" si="28"/>
        <v>90.521816428615992</v>
      </c>
    </row>
    <row r="30" spans="17:49" x14ac:dyDescent="0.25">
      <c r="Q30">
        <v>23</v>
      </c>
      <c r="R30" s="73">
        <f t="shared" si="0"/>
        <v>53.5</v>
      </c>
      <c r="S30" s="71">
        <f t="shared" si="1"/>
        <v>0.92</v>
      </c>
      <c r="T30" s="71">
        <f t="shared" si="2"/>
        <v>11</v>
      </c>
      <c r="U30" s="74">
        <f t="shared" si="3"/>
        <v>4.4745454545454546</v>
      </c>
      <c r="V30" s="73">
        <f>IF(Variable_Management!$B$20=3,2,IF((S30*R30/T30)&lt;((T30*(1-(T30/R30)))/(2*Lm*Fsw)),1,2))</f>
        <v>2</v>
      </c>
      <c r="W30" s="71">
        <f t="shared" si="13"/>
        <v>0.79439252336448596</v>
      </c>
      <c r="X30" s="74">
        <f t="shared" si="4"/>
        <v>0.20560747663551404</v>
      </c>
      <c r="Y30" s="73">
        <f t="shared" si="5"/>
        <v>5.8255451713395638</v>
      </c>
      <c r="Z30" s="71">
        <f t="shared" si="30"/>
        <v>7.3873180402152361</v>
      </c>
      <c r="AA30" s="71">
        <f t="shared" si="31"/>
        <v>4.780129538349688</v>
      </c>
      <c r="AB30" s="71">
        <v>0</v>
      </c>
      <c r="AC30" s="71">
        <f t="shared" si="6"/>
        <v>5.2554168327827361E-2</v>
      </c>
      <c r="AD30" s="74">
        <f t="shared" si="16"/>
        <v>5.2554168327827361E-2</v>
      </c>
      <c r="AE30" s="73">
        <f t="shared" si="29"/>
        <v>3.5545454545454547</v>
      </c>
      <c r="AF30" s="71">
        <f t="shared" si="17"/>
        <v>4.2604673346060906</v>
      </c>
      <c r="AG30" s="71">
        <f t="shared" si="7"/>
        <v>7.2606327636982104E-2</v>
      </c>
      <c r="AH30" s="71">
        <f t="shared" si="18"/>
        <v>1.5554521137349766</v>
      </c>
      <c r="AI30" s="74">
        <f t="shared" si="19"/>
        <v>1.6280584413719588</v>
      </c>
      <c r="AJ30" s="73">
        <f t="shared" si="20"/>
        <v>0.92000000000000015</v>
      </c>
      <c r="AK30" s="71">
        <f t="shared" si="21"/>
        <v>2.1675000563224134</v>
      </c>
      <c r="AL30" s="71">
        <f t="shared" si="8"/>
        <v>1.8792225976630661E-2</v>
      </c>
      <c r="AM30" s="71">
        <f t="shared" si="22"/>
        <v>0</v>
      </c>
      <c r="AN30" s="188">
        <f t="shared" si="23"/>
        <v>8.8647816482582839E-2</v>
      </c>
      <c r="AO30" s="74">
        <f t="shared" si="24"/>
        <v>0.1074400424592135</v>
      </c>
      <c r="AP30" s="73">
        <f t="shared" si="25"/>
        <v>3.4274457605104801E-2</v>
      </c>
      <c r="AQ30" s="206">
        <f t="shared" si="9"/>
        <v>5.2554168327827361E-2</v>
      </c>
      <c r="AR30" s="206">
        <f t="shared" si="10"/>
        <v>3.0218089420955812</v>
      </c>
      <c r="AS30" s="71">
        <f t="shared" si="11"/>
        <v>0.12000000000000001</v>
      </c>
      <c r="AT30" s="74">
        <f t="shared" si="12"/>
        <v>3.6299999999999995E-5</v>
      </c>
      <c r="AU30" s="73">
        <f t="shared" si="26"/>
        <v>5.0167265201875129</v>
      </c>
      <c r="AV30" s="71">
        <f t="shared" si="27"/>
        <v>49.22</v>
      </c>
      <c r="AW30" s="74">
        <f t="shared" si="28"/>
        <v>90.750314699910533</v>
      </c>
    </row>
    <row r="31" spans="17:49" x14ac:dyDescent="0.25">
      <c r="Q31">
        <v>24</v>
      </c>
      <c r="R31" s="73">
        <f t="shared" si="0"/>
        <v>53.5</v>
      </c>
      <c r="S31" s="71">
        <f t="shared" si="1"/>
        <v>0.96</v>
      </c>
      <c r="T31" s="71">
        <f t="shared" si="2"/>
        <v>11</v>
      </c>
      <c r="U31" s="74">
        <f t="shared" si="3"/>
        <v>4.669090909090909</v>
      </c>
      <c r="V31" s="73">
        <f>IF(Variable_Management!$B$20=3,2,IF((S31*R31/T31)&lt;((T31*(1-(T31/R31)))/(2*Lm*Fsw)),1,2))</f>
        <v>2</v>
      </c>
      <c r="W31" s="71">
        <f t="shared" si="13"/>
        <v>0.79439252336448596</v>
      </c>
      <c r="X31" s="74">
        <f t="shared" si="4"/>
        <v>0.20560747663551404</v>
      </c>
      <c r="Y31" s="73">
        <f t="shared" si="5"/>
        <v>5.8255451713395638</v>
      </c>
      <c r="Z31" s="71">
        <f t="shared" si="30"/>
        <v>7.5818634947606913</v>
      </c>
      <c r="AA31" s="71">
        <f t="shared" si="31"/>
        <v>4.9627100757514722</v>
      </c>
      <c r="AB31" s="71">
        <v>0</v>
      </c>
      <c r="AC31" s="71">
        <f t="shared" si="6"/>
        <v>5.6645529980719922E-2</v>
      </c>
      <c r="AD31" s="74">
        <f t="shared" si="16"/>
        <v>5.6645529980719922E-2</v>
      </c>
      <c r="AE31" s="73">
        <f t="shared" si="29"/>
        <v>3.709090909090909</v>
      </c>
      <c r="AF31" s="71">
        <f t="shared" si="17"/>
        <v>4.4231989947618295</v>
      </c>
      <c r="AG31" s="71">
        <f t="shared" si="7"/>
        <v>7.825875738904825E-2</v>
      </c>
      <c r="AH31" s="71">
        <f t="shared" si="18"/>
        <v>1.6230804665060623</v>
      </c>
      <c r="AI31" s="74">
        <f t="shared" si="19"/>
        <v>1.7013392238951106</v>
      </c>
      <c r="AJ31" s="73">
        <f t="shared" si="20"/>
        <v>0.96000000000000008</v>
      </c>
      <c r="AK31" s="71">
        <f t="shared" si="21"/>
        <v>2.2502893033348226</v>
      </c>
      <c r="AL31" s="71">
        <f t="shared" si="8"/>
        <v>2.0255207794812484E-2</v>
      </c>
      <c r="AM31" s="71">
        <f t="shared" si="22"/>
        <v>0</v>
      </c>
      <c r="AN31" s="188">
        <f t="shared" si="23"/>
        <v>9.0982361937128303E-2</v>
      </c>
      <c r="AO31" s="74">
        <f t="shared" si="24"/>
        <v>0.11123756973194079</v>
      </c>
      <c r="AP31" s="73">
        <f t="shared" si="25"/>
        <v>3.6942736943947778E-2</v>
      </c>
      <c r="AQ31" s="206">
        <f t="shared" si="9"/>
        <v>5.6645529980719922E-2</v>
      </c>
      <c r="AR31" s="206">
        <f t="shared" si="10"/>
        <v>3.0218089420955812</v>
      </c>
      <c r="AS31" s="71">
        <f t="shared" si="11"/>
        <v>0.12000000000000001</v>
      </c>
      <c r="AT31" s="74">
        <f t="shared" si="12"/>
        <v>3.6299999999999995E-5</v>
      </c>
      <c r="AU31" s="73">
        <f t="shared" si="26"/>
        <v>5.1046558326280209</v>
      </c>
      <c r="AV31" s="71">
        <f t="shared" si="27"/>
        <v>51.36</v>
      </c>
      <c r="AW31" s="74">
        <f t="shared" si="28"/>
        <v>90.95955557090582</v>
      </c>
    </row>
    <row r="32" spans="17:49" x14ac:dyDescent="0.25">
      <c r="Q32">
        <v>25</v>
      </c>
      <c r="R32" s="73">
        <f t="shared" si="0"/>
        <v>53.5</v>
      </c>
      <c r="S32" s="71">
        <f t="shared" si="1"/>
        <v>1</v>
      </c>
      <c r="T32" s="71">
        <f t="shared" si="2"/>
        <v>11</v>
      </c>
      <c r="U32" s="74">
        <f t="shared" si="3"/>
        <v>4.8636363636363633</v>
      </c>
      <c r="V32" s="73">
        <f>IF(Variable_Management!$B$20=3,2,IF((S32*R32/T32)&lt;((T32*(1-(T32/R32)))/(2*Lm*Fsw)),1,2))</f>
        <v>2</v>
      </c>
      <c r="W32" s="71">
        <f t="shared" si="13"/>
        <v>0.79439252336448596</v>
      </c>
      <c r="X32" s="74">
        <f t="shared" si="4"/>
        <v>0.20560747663551404</v>
      </c>
      <c r="Y32" s="73">
        <f t="shared" si="5"/>
        <v>5.8255451713395638</v>
      </c>
      <c r="Z32" s="71">
        <f t="shared" si="30"/>
        <v>7.7764089493061448</v>
      </c>
      <c r="AA32" s="71">
        <f t="shared" si="31"/>
        <v>5.1461675114881125</v>
      </c>
      <c r="AB32" s="71">
        <v>0</v>
      </c>
      <c r="AC32" s="71">
        <f t="shared" si="6"/>
        <v>6.0910992129480229E-2</v>
      </c>
      <c r="AD32" s="74">
        <f t="shared" si="16"/>
        <v>6.0910992129480229E-2</v>
      </c>
      <c r="AE32" s="73">
        <f t="shared" si="29"/>
        <v>3.8636363636363633</v>
      </c>
      <c r="AF32" s="71">
        <f t="shared" si="17"/>
        <v>4.5867122230071882</v>
      </c>
      <c r="AG32" s="71">
        <f t="shared" si="7"/>
        <v>8.4151716066734175E-2</v>
      </c>
      <c r="AH32" s="71">
        <f t="shared" si="18"/>
        <v>1.6907088192771482</v>
      </c>
      <c r="AI32" s="74">
        <f t="shared" si="19"/>
        <v>1.7748605353438824</v>
      </c>
      <c r="AJ32" s="73">
        <f t="shared" si="20"/>
        <v>1</v>
      </c>
      <c r="AK32" s="71">
        <f t="shared" si="21"/>
        <v>2.3334761707830256</v>
      </c>
      <c r="AL32" s="71">
        <f t="shared" si="8"/>
        <v>2.1780444158448847E-2</v>
      </c>
      <c r="AM32" s="71">
        <f t="shared" si="22"/>
        <v>0</v>
      </c>
      <c r="AN32" s="188">
        <f t="shared" si="23"/>
        <v>9.331690739167374E-2</v>
      </c>
      <c r="AO32" s="74">
        <f t="shared" si="24"/>
        <v>0.11509735155012259</v>
      </c>
      <c r="AP32" s="73">
        <f t="shared" si="25"/>
        <v>3.9724560084443632E-2</v>
      </c>
      <c r="AQ32" s="206">
        <f t="shared" si="9"/>
        <v>6.0910992129480229E-2</v>
      </c>
      <c r="AR32" s="206">
        <f t="shared" si="10"/>
        <v>3.0218089420955812</v>
      </c>
      <c r="AS32" s="71">
        <f t="shared" si="11"/>
        <v>0.12000000000000001</v>
      </c>
      <c r="AT32" s="74">
        <f t="shared" si="12"/>
        <v>3.6299999999999995E-5</v>
      </c>
      <c r="AU32" s="73">
        <f t="shared" si="26"/>
        <v>5.1933496733329907</v>
      </c>
      <c r="AV32" s="71">
        <f t="shared" si="27"/>
        <v>53.5</v>
      </c>
      <c r="AW32" s="74">
        <f t="shared" si="28"/>
        <v>91.15172382861536</v>
      </c>
    </row>
    <row r="33" spans="17:49" x14ac:dyDescent="0.25">
      <c r="Q33">
        <v>26</v>
      </c>
      <c r="R33" s="73">
        <f t="shared" si="0"/>
        <v>53.5</v>
      </c>
      <c r="S33" s="71">
        <f t="shared" si="1"/>
        <v>1.04</v>
      </c>
      <c r="T33" s="71">
        <f t="shared" si="2"/>
        <v>11</v>
      </c>
      <c r="U33" s="74">
        <f t="shared" si="3"/>
        <v>5.0581818181818186</v>
      </c>
      <c r="V33" s="73">
        <f>IF(Variable_Management!$B$20=3,2,IF((S33*R33/T33)&lt;((T33*(1-(T33/R33)))/(2*Lm*Fsw)),1,2))</f>
        <v>2</v>
      </c>
      <c r="W33" s="71">
        <f t="shared" si="13"/>
        <v>0.79439252336448596</v>
      </c>
      <c r="X33" s="74">
        <f t="shared" si="4"/>
        <v>0.20560747663551404</v>
      </c>
      <c r="Y33" s="73">
        <f t="shared" si="5"/>
        <v>5.8255451713395638</v>
      </c>
      <c r="Z33" s="71">
        <f t="shared" si="30"/>
        <v>7.9709544038516</v>
      </c>
      <c r="AA33" s="71">
        <f t="shared" si="31"/>
        <v>5.3304113053679956</v>
      </c>
      <c r="AB33" s="71">
        <v>0</v>
      </c>
      <c r="AC33" s="71">
        <f t="shared" si="6"/>
        <v>6.5350554774108352E-2</v>
      </c>
      <c r="AD33" s="74">
        <f t="shared" si="16"/>
        <v>6.5350554774108352E-2</v>
      </c>
      <c r="AE33" s="73">
        <f t="shared" si="29"/>
        <v>4.0181818181818185</v>
      </c>
      <c r="AF33" s="71">
        <f t="shared" si="17"/>
        <v>4.7509263220460483</v>
      </c>
      <c r="AG33" s="71">
        <f t="shared" si="7"/>
        <v>9.0285203670039962E-2</v>
      </c>
      <c r="AH33" s="71">
        <f t="shared" si="18"/>
        <v>1.7583371720482346</v>
      </c>
      <c r="AI33" s="74">
        <f t="shared" si="19"/>
        <v>1.8486223757182745</v>
      </c>
      <c r="AJ33" s="73">
        <f t="shared" si="20"/>
        <v>1.0400000000000003</v>
      </c>
      <c r="AK33" s="71">
        <f t="shared" si="21"/>
        <v>2.4170196041581749</v>
      </c>
      <c r="AL33" s="71">
        <f t="shared" si="8"/>
        <v>2.3367935067539761E-2</v>
      </c>
      <c r="AM33" s="71">
        <f t="shared" si="22"/>
        <v>0</v>
      </c>
      <c r="AN33" s="188">
        <f t="shared" si="23"/>
        <v>9.5651452846219204E-2</v>
      </c>
      <c r="AO33" s="74">
        <f t="shared" si="24"/>
        <v>0.11901938791375896</v>
      </c>
      <c r="AP33" s="73">
        <f t="shared" si="25"/>
        <v>4.2619927026592411E-2</v>
      </c>
      <c r="AQ33" s="206">
        <f t="shared" si="9"/>
        <v>6.5350554774108352E-2</v>
      </c>
      <c r="AR33" s="206">
        <f t="shared" si="10"/>
        <v>3.0218089420955812</v>
      </c>
      <c r="AS33" s="71">
        <f t="shared" si="11"/>
        <v>0.12000000000000001</v>
      </c>
      <c r="AT33" s="74">
        <f t="shared" si="12"/>
        <v>3.6299999999999995E-5</v>
      </c>
      <c r="AU33" s="73">
        <f t="shared" si="26"/>
        <v>5.282808042302424</v>
      </c>
      <c r="AV33" s="71">
        <f t="shared" si="27"/>
        <v>55.64</v>
      </c>
      <c r="AW33" s="74">
        <f t="shared" si="28"/>
        <v>91.328685902602786</v>
      </c>
    </row>
    <row r="34" spans="17:49" x14ac:dyDescent="0.25">
      <c r="Q34">
        <v>27</v>
      </c>
      <c r="R34" s="73">
        <f t="shared" si="0"/>
        <v>53.5</v>
      </c>
      <c r="S34" s="71">
        <f t="shared" si="1"/>
        <v>1.08</v>
      </c>
      <c r="T34" s="71">
        <f t="shared" si="2"/>
        <v>11</v>
      </c>
      <c r="U34" s="74">
        <f t="shared" si="3"/>
        <v>5.2527272727272729</v>
      </c>
      <c r="V34" s="73">
        <f>IF(Variable_Management!$B$20=3,2,IF((S34*R34/T34)&lt;((T34*(1-(T34/R34)))/(2*Lm*Fsw)),1,2))</f>
        <v>2</v>
      </c>
      <c r="W34" s="71">
        <f t="shared" si="13"/>
        <v>0.79439252336448596</v>
      </c>
      <c r="X34" s="74">
        <f t="shared" si="4"/>
        <v>0.20560747663551404</v>
      </c>
      <c r="Y34" s="73">
        <f t="shared" si="5"/>
        <v>5.8255451713395638</v>
      </c>
      <c r="Z34" s="71">
        <f t="shared" si="30"/>
        <v>8.1654998583970553</v>
      </c>
      <c r="AA34" s="71">
        <f t="shared" si="31"/>
        <v>5.5153626517449155</v>
      </c>
      <c r="AB34" s="71">
        <v>0</v>
      </c>
      <c r="AC34" s="71">
        <f t="shared" si="6"/>
        <v>6.9964217914604221E-2</v>
      </c>
      <c r="AD34" s="74">
        <f t="shared" si="16"/>
        <v>6.9964217914604221E-2</v>
      </c>
      <c r="AE34" s="73">
        <f t="shared" si="29"/>
        <v>4.1727272727272728</v>
      </c>
      <c r="AF34" s="71">
        <f t="shared" si="17"/>
        <v>4.9157710534301131</v>
      </c>
      <c r="AG34" s="71">
        <f t="shared" si="7"/>
        <v>9.6659220198965612E-2</v>
      </c>
      <c r="AH34" s="71">
        <f t="shared" si="18"/>
        <v>1.8259655248193203</v>
      </c>
      <c r="AI34" s="74">
        <f t="shared" si="19"/>
        <v>1.9226247450182858</v>
      </c>
      <c r="AJ34" s="73">
        <f t="shared" si="20"/>
        <v>1.08</v>
      </c>
      <c r="AK34" s="71">
        <f t="shared" si="21"/>
        <v>2.5008838698590754</v>
      </c>
      <c r="AL34" s="71">
        <f t="shared" si="8"/>
        <v>2.5017680522085219E-2</v>
      </c>
      <c r="AM34" s="71">
        <f t="shared" si="22"/>
        <v>0</v>
      </c>
      <c r="AN34" s="188">
        <f t="shared" si="23"/>
        <v>9.7985998300764668E-2</v>
      </c>
      <c r="AO34" s="74">
        <f t="shared" si="24"/>
        <v>0.12300367882284989</v>
      </c>
      <c r="AP34" s="73">
        <f t="shared" si="25"/>
        <v>4.562883777039406E-2</v>
      </c>
      <c r="AQ34" s="206">
        <f t="shared" si="9"/>
        <v>6.9964217914604221E-2</v>
      </c>
      <c r="AR34" s="206">
        <f t="shared" si="10"/>
        <v>3.0218089420955812</v>
      </c>
      <c r="AS34" s="71">
        <f t="shared" si="11"/>
        <v>0.12000000000000001</v>
      </c>
      <c r="AT34" s="74">
        <f t="shared" si="12"/>
        <v>3.6299999999999995E-5</v>
      </c>
      <c r="AU34" s="73">
        <f t="shared" si="26"/>
        <v>5.3730309395363198</v>
      </c>
      <c r="AV34" s="71">
        <f t="shared" si="27"/>
        <v>57.78</v>
      </c>
      <c r="AW34" s="74">
        <f t="shared" si="28"/>
        <v>91.492045813793894</v>
      </c>
    </row>
    <row r="35" spans="17:49" x14ac:dyDescent="0.25">
      <c r="Q35">
        <v>28</v>
      </c>
      <c r="R35" s="73">
        <f t="shared" si="0"/>
        <v>53.5</v>
      </c>
      <c r="S35" s="71">
        <f t="shared" si="1"/>
        <v>1.1200000000000001</v>
      </c>
      <c r="T35" s="71">
        <f t="shared" si="2"/>
        <v>11</v>
      </c>
      <c r="U35" s="74">
        <f t="shared" si="3"/>
        <v>5.4472727272727282</v>
      </c>
      <c r="V35" s="73">
        <f>IF(Variable_Management!$B$20=3,2,IF((S35*R35/T35)&lt;((T35*(1-(T35/R35)))/(2*Lm*Fsw)),1,2))</f>
        <v>2</v>
      </c>
      <c r="W35" s="71">
        <f t="shared" si="13"/>
        <v>0.79439252336448596</v>
      </c>
      <c r="X35" s="74">
        <f t="shared" si="4"/>
        <v>0.20560747663551404</v>
      </c>
      <c r="Y35" s="73">
        <f t="shared" si="5"/>
        <v>5.8255451713395638</v>
      </c>
      <c r="Z35" s="71">
        <f t="shared" si="30"/>
        <v>8.3600453129425105</v>
      </c>
      <c r="AA35" s="71">
        <f t="shared" si="31"/>
        <v>5.7009526873934915</v>
      </c>
      <c r="AB35" s="71">
        <v>0</v>
      </c>
      <c r="AC35" s="71">
        <f t="shared" si="6"/>
        <v>7.4751981550967864E-2</v>
      </c>
      <c r="AD35" s="74">
        <f t="shared" si="16"/>
        <v>7.4751981550967864E-2</v>
      </c>
      <c r="AE35" s="73">
        <f t="shared" si="29"/>
        <v>4.327272727272728</v>
      </c>
      <c r="AF35" s="71">
        <f t="shared" si="17"/>
        <v>5.081185040261551</v>
      </c>
      <c r="AG35" s="71">
        <f t="shared" si="7"/>
        <v>0.10327376565351112</v>
      </c>
      <c r="AH35" s="71">
        <f t="shared" si="18"/>
        <v>1.8935938775904066</v>
      </c>
      <c r="AI35" s="74">
        <f t="shared" si="19"/>
        <v>1.9968676432439179</v>
      </c>
      <c r="AJ35" s="73">
        <f t="shared" si="20"/>
        <v>1.1200000000000003</v>
      </c>
      <c r="AK35" s="71">
        <f t="shared" si="21"/>
        <v>2.5850377425719162</v>
      </c>
      <c r="AL35" s="71">
        <f t="shared" si="8"/>
        <v>2.6729680522085235E-2</v>
      </c>
      <c r="AM35" s="71">
        <f t="shared" si="22"/>
        <v>0</v>
      </c>
      <c r="AN35" s="188">
        <f t="shared" si="23"/>
        <v>0.10032054375531013</v>
      </c>
      <c r="AO35" s="74">
        <f t="shared" si="24"/>
        <v>0.12705022427739537</v>
      </c>
      <c r="AP35" s="73">
        <f t="shared" si="25"/>
        <v>4.8751292315848606E-2</v>
      </c>
      <c r="AQ35" s="206">
        <f t="shared" si="9"/>
        <v>7.4751981550967864E-2</v>
      </c>
      <c r="AR35" s="206">
        <f t="shared" si="10"/>
        <v>3.0218089420955812</v>
      </c>
      <c r="AS35" s="71">
        <f t="shared" si="11"/>
        <v>0.12000000000000001</v>
      </c>
      <c r="AT35" s="74">
        <f t="shared" si="12"/>
        <v>3.6299999999999995E-5</v>
      </c>
      <c r="AU35" s="73">
        <f t="shared" si="26"/>
        <v>5.4640183650346792</v>
      </c>
      <c r="AV35" s="71">
        <f t="shared" si="27"/>
        <v>59.920000000000009</v>
      </c>
      <c r="AW35" s="74">
        <f t="shared" si="28"/>
        <v>91.643189724850757</v>
      </c>
    </row>
    <row r="36" spans="17:49" x14ac:dyDescent="0.25">
      <c r="Q36">
        <v>29</v>
      </c>
      <c r="R36" s="73">
        <f t="shared" si="0"/>
        <v>53.5</v>
      </c>
      <c r="S36" s="71">
        <f t="shared" si="1"/>
        <v>1.1599999999999999</v>
      </c>
      <c r="T36" s="71">
        <f t="shared" si="2"/>
        <v>11</v>
      </c>
      <c r="U36" s="74">
        <f t="shared" si="3"/>
        <v>5.6418181818181816</v>
      </c>
      <c r="V36" s="73">
        <f>IF(Variable_Management!$B$20=3,2,IF((S36*R36/T36)&lt;((T36*(1-(T36/R36)))/(2*Lm*Fsw)),1,2))</f>
        <v>2</v>
      </c>
      <c r="W36" s="71">
        <f t="shared" si="13"/>
        <v>0.79439252336448596</v>
      </c>
      <c r="X36" s="74">
        <f t="shared" si="4"/>
        <v>0.20560747663551404</v>
      </c>
      <c r="Y36" s="73">
        <f t="shared" si="5"/>
        <v>5.8255451713395638</v>
      </c>
      <c r="Z36" s="71">
        <f t="shared" si="30"/>
        <v>8.554590767487964</v>
      </c>
      <c r="AA36" s="71">
        <f t="shared" si="31"/>
        <v>5.8871210090590136</v>
      </c>
      <c r="AB36" s="71">
        <v>0</v>
      </c>
      <c r="AC36" s="71">
        <f t="shared" si="6"/>
        <v>7.9713845683199253E-2</v>
      </c>
      <c r="AD36" s="74">
        <f t="shared" si="16"/>
        <v>7.9713845683199253E-2</v>
      </c>
      <c r="AE36" s="73">
        <f t="shared" si="29"/>
        <v>4.4818181818181815</v>
      </c>
      <c r="AF36" s="71">
        <f t="shared" si="17"/>
        <v>5.2471144459044421</v>
      </c>
      <c r="AG36" s="71">
        <f t="shared" si="7"/>
        <v>0.11012884003367633</v>
      </c>
      <c r="AH36" s="71">
        <f t="shared" si="18"/>
        <v>1.9612222303614919</v>
      </c>
      <c r="AI36" s="74">
        <f t="shared" si="19"/>
        <v>2.0713510703951683</v>
      </c>
      <c r="AJ36" s="73">
        <f t="shared" si="20"/>
        <v>1.1600000000000001</v>
      </c>
      <c r="AK36" s="71">
        <f t="shared" si="21"/>
        <v>2.6694538330686557</v>
      </c>
      <c r="AL36" s="71">
        <f t="shared" si="8"/>
        <v>2.8503935067539753E-2</v>
      </c>
      <c r="AM36" s="71">
        <f t="shared" si="22"/>
        <v>0</v>
      </c>
      <c r="AN36" s="188">
        <f t="shared" si="23"/>
        <v>0.10265508920985557</v>
      </c>
      <c r="AO36" s="74">
        <f t="shared" si="24"/>
        <v>0.13115902427739531</v>
      </c>
      <c r="AP36" s="73">
        <f t="shared" si="25"/>
        <v>5.1987290662956029E-2</v>
      </c>
      <c r="AQ36" s="206">
        <f t="shared" si="9"/>
        <v>7.9713845683199253E-2</v>
      </c>
      <c r="AR36" s="206">
        <f t="shared" si="10"/>
        <v>3.0218089420955812</v>
      </c>
      <c r="AS36" s="71">
        <f t="shared" si="11"/>
        <v>0.12000000000000001</v>
      </c>
      <c r="AT36" s="74">
        <f t="shared" si="12"/>
        <v>3.6299999999999995E-5</v>
      </c>
      <c r="AU36" s="73">
        <f t="shared" si="26"/>
        <v>5.5557703187974994</v>
      </c>
      <c r="AV36" s="71">
        <f t="shared" si="27"/>
        <v>62.059999999999995</v>
      </c>
      <c r="AW36" s="74">
        <f t="shared" si="28"/>
        <v>91.783321712371318</v>
      </c>
    </row>
    <row r="37" spans="17:49" x14ac:dyDescent="0.25">
      <c r="Q37">
        <v>30</v>
      </c>
      <c r="R37" s="73">
        <f t="shared" si="0"/>
        <v>53.5</v>
      </c>
      <c r="S37" s="71">
        <f t="shared" si="1"/>
        <v>1.2</v>
      </c>
      <c r="T37" s="71">
        <f t="shared" si="2"/>
        <v>11</v>
      </c>
      <c r="U37" s="74">
        <f t="shared" si="3"/>
        <v>5.8363636363636369</v>
      </c>
      <c r="V37" s="73">
        <f>IF(Variable_Management!$B$20=3,2,IF((S37*R37/T37)&lt;((T37*(1-(T37/R37)))/(2*Lm*Fsw)),1,2))</f>
        <v>2</v>
      </c>
      <c r="W37" s="71">
        <f t="shared" si="13"/>
        <v>0.79439252336448596</v>
      </c>
      <c r="X37" s="74">
        <f t="shared" si="4"/>
        <v>0.20560747663551404</v>
      </c>
      <c r="Y37" s="73">
        <f t="shared" si="5"/>
        <v>5.8255451713395638</v>
      </c>
      <c r="Z37" s="71">
        <f t="shared" si="30"/>
        <v>8.7491362220334192</v>
      </c>
      <c r="AA37" s="71">
        <f t="shared" si="31"/>
        <v>6.0738144418872055</v>
      </c>
      <c r="AB37" s="71">
        <v>0</v>
      </c>
      <c r="AC37" s="71">
        <f t="shared" si="6"/>
        <v>8.4849810311298443E-2</v>
      </c>
      <c r="AD37" s="74">
        <f t="shared" si="16"/>
        <v>8.4849810311298443E-2</v>
      </c>
      <c r="AE37" s="73">
        <f t="shared" si="29"/>
        <v>4.6363636363636367</v>
      </c>
      <c r="AF37" s="71">
        <f t="shared" si="17"/>
        <v>5.4135118763022385</v>
      </c>
      <c r="AG37" s="71">
        <f t="shared" si="7"/>
        <v>0.11722444333946153</v>
      </c>
      <c r="AH37" s="71">
        <f t="shared" si="18"/>
        <v>2.028850583132578</v>
      </c>
      <c r="AI37" s="74">
        <f t="shared" si="19"/>
        <v>2.1460750264720394</v>
      </c>
      <c r="AJ37" s="73">
        <f t="shared" si="20"/>
        <v>1.2000000000000002</v>
      </c>
      <c r="AK37" s="71">
        <f t="shared" si="21"/>
        <v>2.7541080297643039</v>
      </c>
      <c r="AL37" s="71">
        <f t="shared" si="8"/>
        <v>3.0340444158448866E-2</v>
      </c>
      <c r="AM37" s="71">
        <f t="shared" si="22"/>
        <v>0</v>
      </c>
      <c r="AN37" s="188">
        <f t="shared" si="23"/>
        <v>0.10498963466440103</v>
      </c>
      <c r="AO37" s="74">
        <f t="shared" si="24"/>
        <v>0.13533007882284989</v>
      </c>
      <c r="AP37" s="73">
        <f t="shared" si="25"/>
        <v>5.5336832811716384E-2</v>
      </c>
      <c r="AQ37" s="206">
        <f t="shared" si="9"/>
        <v>8.4849810311298443E-2</v>
      </c>
      <c r="AR37" s="206">
        <f t="shared" si="10"/>
        <v>3.0218089420955812</v>
      </c>
      <c r="AS37" s="71">
        <f t="shared" si="11"/>
        <v>0.12000000000000001</v>
      </c>
      <c r="AT37" s="74">
        <f t="shared" si="12"/>
        <v>3.6299999999999995E-5</v>
      </c>
      <c r="AU37" s="73">
        <f t="shared" si="26"/>
        <v>5.6482868008247831</v>
      </c>
      <c r="AV37" s="71">
        <f t="shared" si="27"/>
        <v>64.2</v>
      </c>
      <c r="AW37" s="74">
        <f t="shared" si="28"/>
        <v>91.913492714673012</v>
      </c>
    </row>
    <row r="38" spans="17:49" x14ac:dyDescent="0.25">
      <c r="Q38">
        <v>31</v>
      </c>
      <c r="R38" s="73">
        <f t="shared" si="0"/>
        <v>53.5</v>
      </c>
      <c r="S38" s="71">
        <f t="shared" si="1"/>
        <v>1.24</v>
      </c>
      <c r="T38" s="71">
        <f t="shared" si="2"/>
        <v>11</v>
      </c>
      <c r="U38" s="74">
        <f t="shared" si="3"/>
        <v>6.0309090909090912</v>
      </c>
      <c r="V38" s="73">
        <f>IF(Variable_Management!$B$20=3,2,IF((S38*R38/T38)&lt;((T38*(1-(T38/R38)))/(2*Lm*Fsw)),1,2))</f>
        <v>2</v>
      </c>
      <c r="W38" s="71">
        <f t="shared" si="13"/>
        <v>0.79439252336448596</v>
      </c>
      <c r="X38" s="74">
        <f t="shared" si="4"/>
        <v>0.20560747663551404</v>
      </c>
      <c r="Y38" s="73">
        <f t="shared" si="5"/>
        <v>5.8255451713395638</v>
      </c>
      <c r="Z38" s="71">
        <f t="shared" si="30"/>
        <v>8.9436816765788727</v>
      </c>
      <c r="AA38" s="71">
        <f t="shared" si="31"/>
        <v>6.2609860119169518</v>
      </c>
      <c r="AB38" s="71">
        <v>0</v>
      </c>
      <c r="AC38" s="71">
        <f t="shared" si="6"/>
        <v>9.015987543526538E-2</v>
      </c>
      <c r="AD38" s="74">
        <f t="shared" si="16"/>
        <v>9.015987543526538E-2</v>
      </c>
      <c r="AE38" s="73">
        <f t="shared" si="29"/>
        <v>4.790909090909091</v>
      </c>
      <c r="AF38" s="71">
        <f t="shared" si="17"/>
        <v>5.5803354641738707</v>
      </c>
      <c r="AG38" s="71">
        <f t="shared" si="7"/>
        <v>0.12456057557086643</v>
      </c>
      <c r="AH38" s="71">
        <f t="shared" si="18"/>
        <v>2.0964789359036642</v>
      </c>
      <c r="AI38" s="74">
        <f t="shared" si="19"/>
        <v>2.2210395114745305</v>
      </c>
      <c r="AJ38" s="73">
        <f t="shared" si="20"/>
        <v>1.2400000000000002</v>
      </c>
      <c r="AK38" s="71">
        <f t="shared" si="21"/>
        <v>2.8389790328044202</v>
      </c>
      <c r="AL38" s="71">
        <f t="shared" si="8"/>
        <v>3.2239207794812486E-2</v>
      </c>
      <c r="AM38" s="71">
        <f t="shared" si="22"/>
        <v>0</v>
      </c>
      <c r="AN38" s="188">
        <f t="shared" si="23"/>
        <v>0.10732418011894647</v>
      </c>
      <c r="AO38" s="74">
        <f t="shared" si="24"/>
        <v>0.13956338791375894</v>
      </c>
      <c r="AP38" s="73">
        <f t="shared" si="25"/>
        <v>5.8799918762129602E-2</v>
      </c>
      <c r="AQ38" s="206">
        <f t="shared" si="9"/>
        <v>9.015987543526538E-2</v>
      </c>
      <c r="AR38" s="206">
        <f t="shared" si="10"/>
        <v>3.0218089420955812</v>
      </c>
      <c r="AS38" s="71">
        <f t="shared" si="11"/>
        <v>0.12000000000000001</v>
      </c>
      <c r="AT38" s="74">
        <f t="shared" si="12"/>
        <v>3.6299999999999995E-5</v>
      </c>
      <c r="AU38" s="73">
        <f t="shared" si="26"/>
        <v>5.741567811116532</v>
      </c>
      <c r="AV38" s="71">
        <f t="shared" si="27"/>
        <v>66.34</v>
      </c>
      <c r="AW38" s="74">
        <f t="shared" si="28"/>
        <v>92.034624127263967</v>
      </c>
    </row>
    <row r="39" spans="17:49" x14ac:dyDescent="0.25">
      <c r="Q39">
        <v>32</v>
      </c>
      <c r="R39" s="73">
        <f t="shared" si="0"/>
        <v>53.5</v>
      </c>
      <c r="S39" s="71">
        <f t="shared" ref="S39:S70" si="32">Q39*$O$12</f>
        <v>1.28</v>
      </c>
      <c r="T39" s="71">
        <f t="shared" si="2"/>
        <v>11</v>
      </c>
      <c r="U39" s="74">
        <f t="shared" ref="U39:U70" si="33">(R39*S39)/(T39*EFF_est)</f>
        <v>6.2254545454545456</v>
      </c>
      <c r="V39" s="73">
        <f>IF(Variable_Management!$B$20=3,2,IF((S39*R39/T39)&lt;((T39*(1-(T39/R39)))/(2*Lm*Fsw)),1,2))</f>
        <v>2</v>
      </c>
      <c r="W39" s="71">
        <f t="shared" ref="W39:W70" si="34">CHOOSE(V39,SQRT((2*S39*Lm*Fsw*(R39-T39))/((T39)^2)),1-(T39/R39))</f>
        <v>0.79439252336448596</v>
      </c>
      <c r="X39" s="74">
        <f t="shared" ref="X39:X70" si="35">CHOOSE(V39,(Lm*Z39*Fsw)/(R39-T39),1-W39)</f>
        <v>0.20560747663551404</v>
      </c>
      <c r="Y39" s="73">
        <f t="shared" ref="Y39:Y70" si="36">(T39*W39)/(Lm*Fsw)</f>
        <v>5.8255451713395638</v>
      </c>
      <c r="Z39" s="71">
        <f t="shared" si="30"/>
        <v>9.1382271311243279</v>
      </c>
      <c r="AA39" s="71">
        <f t="shared" si="31"/>
        <v>6.4485940852352055</v>
      </c>
      <c r="AB39" s="71">
        <v>0</v>
      </c>
      <c r="AC39" s="71">
        <f t="shared" ref="AC39:AC70" si="37">(AA39^2)*Rdcr</f>
        <v>9.564404105510009E-2</v>
      </c>
      <c r="AD39" s="74">
        <f t="shared" si="16"/>
        <v>9.564404105510009E-2</v>
      </c>
      <c r="AE39" s="73">
        <f t="shared" si="29"/>
        <v>4.9454545454545453</v>
      </c>
      <c r="AF39" s="71">
        <f t="shared" si="17"/>
        <v>5.747548101753722</v>
      </c>
      <c r="AG39" s="71">
        <f t="shared" ref="AG39:AG70" si="38">(AF39^2)*RDS_on</f>
        <v>0.13213723672789127</v>
      </c>
      <c r="AH39" s="71">
        <f t="shared" ref="AH39:AH70" si="39">((R39*U39)/2)*Fsw*(tr_sw+tf_sw)</f>
        <v>2.1641072886747499</v>
      </c>
      <c r="AI39" s="74">
        <f t="shared" si="19"/>
        <v>2.2962445254026411</v>
      </c>
      <c r="AJ39" s="73">
        <f t="shared" si="20"/>
        <v>1.2800000000000002</v>
      </c>
      <c r="AK39" s="71">
        <f t="shared" ref="AK39:AK70" si="40">CHOOSE(V39,Z39*SQRT(X39/3),SQRT(X39*((Z39^2)+((Y39^2)/3)-(Y39*Z39))))</f>
        <v>2.9240479637238628</v>
      </c>
      <c r="AL39" s="71">
        <f t="shared" ref="AL39:AL70" si="41">(AK39^2)*RDS_on_HS</f>
        <v>3.420022597663068E-2</v>
      </c>
      <c r="AM39" s="71">
        <f t="shared" si="22"/>
        <v>0</v>
      </c>
      <c r="AN39" s="188">
        <f t="shared" ref="AN39:AN70" si="42">Vd_rect*t_dead*Fsw*Z39</f>
        <v>0.10965872557349193</v>
      </c>
      <c r="AO39" s="74">
        <f t="shared" si="24"/>
        <v>0.14385895155012263</v>
      </c>
      <c r="AP39" s="73">
        <f t="shared" ref="AP39:AP70" si="43">(AA39^2)*R_cs</f>
        <v>6.2376548514195711E-2</v>
      </c>
      <c r="AQ39" s="206">
        <f t="shared" ref="AQ39:AQ70" si="44">Rdcr*AA39^2</f>
        <v>9.564404105510009E-2</v>
      </c>
      <c r="AR39" s="206">
        <f t="shared" ref="AR39:AR70" si="45">ABS(7.759*10^-3*Fsw^0.9458*(0.00787*Y39)^2.304)</f>
        <v>3.0218089420955812</v>
      </c>
      <c r="AS39" s="71">
        <f t="shared" ref="AS39:AS70" si="46">(Qg_tot+Qg_tot_HS)*Vcc*Fsw</f>
        <v>0.12000000000000001</v>
      </c>
      <c r="AT39" s="74">
        <f t="shared" ref="AT39:AT70" si="47">IQ*T39</f>
        <v>3.6299999999999995E-5</v>
      </c>
      <c r="AU39" s="73">
        <f t="shared" si="26"/>
        <v>5.8356133496727409</v>
      </c>
      <c r="AV39" s="71">
        <f t="shared" si="27"/>
        <v>68.48</v>
      </c>
      <c r="AW39" s="74">
        <f t="shared" si="28"/>
        <v>92.147527166041428</v>
      </c>
    </row>
    <row r="40" spans="17:49" x14ac:dyDescent="0.25">
      <c r="Q40">
        <v>33</v>
      </c>
      <c r="R40" s="73">
        <f t="shared" si="0"/>
        <v>53.5</v>
      </c>
      <c r="S40" s="71">
        <f t="shared" si="32"/>
        <v>1.32</v>
      </c>
      <c r="T40" s="71">
        <f t="shared" si="2"/>
        <v>11</v>
      </c>
      <c r="U40" s="74">
        <f t="shared" si="33"/>
        <v>6.4200000000000008</v>
      </c>
      <c r="V40" s="73">
        <f>IF(Variable_Management!$B$20=3,2,IF((S40*R40/T40)&lt;((T40*(1-(T40/R40)))/(2*Lm*Fsw)),1,2))</f>
        <v>2</v>
      </c>
      <c r="W40" s="71">
        <f t="shared" si="34"/>
        <v>0.79439252336448596</v>
      </c>
      <c r="X40" s="74">
        <f t="shared" si="35"/>
        <v>0.20560747663551404</v>
      </c>
      <c r="Y40" s="73">
        <f t="shared" si="36"/>
        <v>5.8255451713395638</v>
      </c>
      <c r="Z40" s="71">
        <f t="shared" si="30"/>
        <v>9.3327725856697832</v>
      </c>
      <c r="AA40" s="71">
        <f t="shared" si="31"/>
        <v>6.6366016438091124</v>
      </c>
      <c r="AB40" s="71">
        <v>0</v>
      </c>
      <c r="AC40" s="71">
        <f t="shared" si="37"/>
        <v>0.10130230717080257</v>
      </c>
      <c r="AD40" s="74">
        <f t="shared" si="16"/>
        <v>0.10130230717080257</v>
      </c>
      <c r="AE40" s="73">
        <f t="shared" si="29"/>
        <v>5.1000000000000005</v>
      </c>
      <c r="AF40" s="71">
        <f t="shared" si="17"/>
        <v>5.9151167953501966</v>
      </c>
      <c r="AG40" s="71">
        <f t="shared" si="38"/>
        <v>0.13995442681053594</v>
      </c>
      <c r="AH40" s="71">
        <f t="shared" si="39"/>
        <v>2.2317356414458356</v>
      </c>
      <c r="AI40" s="74">
        <f t="shared" si="19"/>
        <v>2.3716900682563713</v>
      </c>
      <c r="AJ40" s="73">
        <f t="shared" si="20"/>
        <v>1.3200000000000003</v>
      </c>
      <c r="AK40" s="71">
        <f t="shared" si="40"/>
        <v>3.0092980370803843</v>
      </c>
      <c r="AL40" s="71">
        <f t="shared" si="41"/>
        <v>3.6223498703903415E-2</v>
      </c>
      <c r="AM40" s="71">
        <f t="shared" ref="AM40:AM71" si="48">CHOOSE(V40,(R40+Vd_rect)*Qrr*Fsw,(R40+Vd_rect)*Qrr*Fsw)</f>
        <v>0</v>
      </c>
      <c r="AN40" s="188">
        <f t="shared" si="42"/>
        <v>0.1119932710280374</v>
      </c>
      <c r="AO40" s="74">
        <f t="shared" si="24"/>
        <v>0.14821676973194081</v>
      </c>
      <c r="AP40" s="73">
        <f t="shared" si="43"/>
        <v>6.6066722067914724E-2</v>
      </c>
      <c r="AQ40" s="206">
        <f t="shared" si="44"/>
        <v>0.10130230717080257</v>
      </c>
      <c r="AR40" s="206">
        <f t="shared" si="45"/>
        <v>3.0218089420955812</v>
      </c>
      <c r="AS40" s="71">
        <f t="shared" si="46"/>
        <v>0.12000000000000001</v>
      </c>
      <c r="AT40" s="74">
        <f t="shared" si="47"/>
        <v>3.6299999999999995E-5</v>
      </c>
      <c r="AU40" s="73">
        <f t="shared" si="26"/>
        <v>5.9304234164934133</v>
      </c>
      <c r="AV40" s="71">
        <f t="shared" si="27"/>
        <v>70.62</v>
      </c>
      <c r="AW40" s="74">
        <f t="shared" si="28"/>
        <v>92.252918858165771</v>
      </c>
    </row>
    <row r="41" spans="17:49" x14ac:dyDescent="0.25">
      <c r="Q41">
        <v>34</v>
      </c>
      <c r="R41" s="73">
        <f t="shared" si="0"/>
        <v>53.5</v>
      </c>
      <c r="S41" s="71">
        <f t="shared" si="32"/>
        <v>1.36</v>
      </c>
      <c r="T41" s="71">
        <f t="shared" si="2"/>
        <v>11</v>
      </c>
      <c r="U41" s="74">
        <f t="shared" si="33"/>
        <v>6.6145454545454552</v>
      </c>
      <c r="V41" s="73">
        <f>IF(Variable_Management!$B$20=3,2,IF((S41*R41/T41)&lt;((T41*(1-(T41/R41)))/(2*Lm*Fsw)),1,2))</f>
        <v>2</v>
      </c>
      <c r="W41" s="71">
        <f t="shared" si="34"/>
        <v>0.79439252336448596</v>
      </c>
      <c r="X41" s="74">
        <f t="shared" si="35"/>
        <v>0.20560747663551404</v>
      </c>
      <c r="Y41" s="73">
        <f t="shared" si="36"/>
        <v>5.8255451713395638</v>
      </c>
      <c r="Z41" s="71">
        <f t="shared" si="30"/>
        <v>9.5273180402152366</v>
      </c>
      <c r="AA41" s="71">
        <f t="shared" si="31"/>
        <v>6.8249756738656409</v>
      </c>
      <c r="AB41" s="71">
        <v>0</v>
      </c>
      <c r="AC41" s="71">
        <f t="shared" si="37"/>
        <v>0.10713467378237285</v>
      </c>
      <c r="AD41" s="74">
        <f t="shared" si="16"/>
        <v>0.10713467378237285</v>
      </c>
      <c r="AE41" s="73">
        <f t="shared" si="29"/>
        <v>5.2545454545454549</v>
      </c>
      <c r="AF41" s="71">
        <f t="shared" si="17"/>
        <v>6.0830121202164378</v>
      </c>
      <c r="AG41" s="71">
        <f t="shared" si="38"/>
        <v>0.14801214581880032</v>
      </c>
      <c r="AH41" s="71">
        <f t="shared" si="39"/>
        <v>2.2993639942169222</v>
      </c>
      <c r="AI41" s="74">
        <f t="shared" si="19"/>
        <v>2.4473761400357223</v>
      </c>
      <c r="AJ41" s="73">
        <f t="shared" si="20"/>
        <v>1.3600000000000003</v>
      </c>
      <c r="AK41" s="71">
        <f t="shared" si="40"/>
        <v>3.0947142831217338</v>
      </c>
      <c r="AL41" s="71">
        <f t="shared" si="41"/>
        <v>3.8309025976630662E-2</v>
      </c>
      <c r="AM41" s="71">
        <f t="shared" si="48"/>
        <v>0</v>
      </c>
      <c r="AN41" s="188">
        <f t="shared" si="42"/>
        <v>0.11432781648258285</v>
      </c>
      <c r="AO41" s="74">
        <f t="shared" si="24"/>
        <v>0.1526368424592135</v>
      </c>
      <c r="AP41" s="73">
        <f t="shared" si="43"/>
        <v>6.9870439423286648E-2</v>
      </c>
      <c r="AQ41" s="206">
        <f t="shared" si="44"/>
        <v>0.10713467378237285</v>
      </c>
      <c r="AR41" s="206">
        <f t="shared" si="45"/>
        <v>3.0218089420955812</v>
      </c>
      <c r="AS41" s="71">
        <f t="shared" si="46"/>
        <v>0.12000000000000001</v>
      </c>
      <c r="AT41" s="74">
        <f t="shared" si="47"/>
        <v>3.6299999999999995E-5</v>
      </c>
      <c r="AU41" s="73">
        <f t="shared" si="26"/>
        <v>6.0259980115785492</v>
      </c>
      <c r="AV41" s="71">
        <f t="shared" si="27"/>
        <v>72.760000000000005</v>
      </c>
      <c r="AW41" s="74">
        <f t="shared" si="28"/>
        <v>92.351435326499313</v>
      </c>
    </row>
    <row r="42" spans="17:49" x14ac:dyDescent="0.25">
      <c r="Q42">
        <v>35</v>
      </c>
      <c r="R42" s="73">
        <f t="shared" si="0"/>
        <v>53.5</v>
      </c>
      <c r="S42" s="71">
        <f t="shared" si="32"/>
        <v>1.4000000000000001</v>
      </c>
      <c r="T42" s="71">
        <f t="shared" si="2"/>
        <v>11</v>
      </c>
      <c r="U42" s="74">
        <f t="shared" si="33"/>
        <v>6.8090909090909095</v>
      </c>
      <c r="V42" s="73">
        <f>IF(Variable_Management!$B$20=3,2,IF((S42*R42/T42)&lt;((T42*(1-(T42/R42)))/(2*Lm*Fsw)),1,2))</f>
        <v>2</v>
      </c>
      <c r="W42" s="71">
        <f t="shared" si="34"/>
        <v>0.79439252336448596</v>
      </c>
      <c r="X42" s="74">
        <f t="shared" si="35"/>
        <v>0.20560747663551404</v>
      </c>
      <c r="Y42" s="73">
        <f t="shared" si="36"/>
        <v>5.8255451713395638</v>
      </c>
      <c r="Z42" s="71">
        <f t="shared" si="30"/>
        <v>9.7218634947606919</v>
      </c>
      <c r="AA42" s="71">
        <f t="shared" si="31"/>
        <v>7.0136866473256614</v>
      </c>
      <c r="AB42" s="71">
        <v>0</v>
      </c>
      <c r="AC42" s="71">
        <f t="shared" si="37"/>
        <v>0.11314114088981084</v>
      </c>
      <c r="AD42" s="74">
        <f t="shared" si="16"/>
        <v>0.11314114088981084</v>
      </c>
      <c r="AE42" s="73">
        <f t="shared" si="29"/>
        <v>5.4090909090909092</v>
      </c>
      <c r="AF42" s="71">
        <f t="shared" si="17"/>
        <v>6.2512077583592713</v>
      </c>
      <c r="AG42" s="71">
        <f t="shared" si="38"/>
        <v>0.15631039375268457</v>
      </c>
      <c r="AH42" s="71">
        <f t="shared" si="39"/>
        <v>2.3669923469880079</v>
      </c>
      <c r="AI42" s="74">
        <f t="shared" si="19"/>
        <v>2.5233027407406925</v>
      </c>
      <c r="AJ42" s="73">
        <f t="shared" si="20"/>
        <v>1.4000000000000004</v>
      </c>
      <c r="AK42" s="71">
        <f t="shared" si="40"/>
        <v>3.1802833126473375</v>
      </c>
      <c r="AL42" s="71">
        <f t="shared" si="41"/>
        <v>4.0456807794812491E-2</v>
      </c>
      <c r="AM42" s="71">
        <f t="shared" si="48"/>
        <v>0</v>
      </c>
      <c r="AN42" s="188">
        <f t="shared" si="42"/>
        <v>0.11666236193712831</v>
      </c>
      <c r="AO42" s="74">
        <f t="shared" si="24"/>
        <v>0.15711916973194079</v>
      </c>
      <c r="AP42" s="73">
        <f t="shared" si="43"/>
        <v>7.3787700580311422E-2</v>
      </c>
      <c r="AQ42" s="206">
        <f t="shared" si="44"/>
        <v>0.11314114088981084</v>
      </c>
      <c r="AR42" s="206">
        <f t="shared" si="45"/>
        <v>3.0218089420955812</v>
      </c>
      <c r="AS42" s="71">
        <f t="shared" si="46"/>
        <v>0.12000000000000001</v>
      </c>
      <c r="AT42" s="74">
        <f t="shared" si="47"/>
        <v>3.6299999999999995E-5</v>
      </c>
      <c r="AU42" s="73">
        <f t="shared" si="26"/>
        <v>6.1223371349281468</v>
      </c>
      <c r="AV42" s="71">
        <f t="shared" si="27"/>
        <v>74.900000000000006</v>
      </c>
      <c r="AW42" s="74">
        <f t="shared" si="28"/>
        <v>92.443642887352794</v>
      </c>
    </row>
    <row r="43" spans="17:49" x14ac:dyDescent="0.25">
      <c r="Q43">
        <v>36</v>
      </c>
      <c r="R43" s="73">
        <f t="shared" si="0"/>
        <v>53.5</v>
      </c>
      <c r="S43" s="71">
        <f t="shared" si="32"/>
        <v>1.44</v>
      </c>
      <c r="T43" s="71">
        <f t="shared" si="2"/>
        <v>11</v>
      </c>
      <c r="U43" s="74">
        <f t="shared" si="33"/>
        <v>7.003636363636363</v>
      </c>
      <c r="V43" s="73">
        <f>IF(Variable_Management!$B$20=3,2,IF((S43*R43/T43)&lt;((T43*(1-(T43/R43)))/(2*Lm*Fsw)),1,2))</f>
        <v>2</v>
      </c>
      <c r="W43" s="71">
        <f t="shared" si="34"/>
        <v>0.79439252336448596</v>
      </c>
      <c r="X43" s="74">
        <f t="shared" si="35"/>
        <v>0.20560747663551404</v>
      </c>
      <c r="Y43" s="73">
        <f t="shared" si="36"/>
        <v>5.8255451713395638</v>
      </c>
      <c r="Z43" s="71">
        <f t="shared" si="30"/>
        <v>9.9164089493061454</v>
      </c>
      <c r="AA43" s="71">
        <f t="shared" si="31"/>
        <v>7.2027080804832977</v>
      </c>
      <c r="AB43" s="71">
        <v>0</v>
      </c>
      <c r="AC43" s="71">
        <f t="shared" si="37"/>
        <v>0.11932170849311659</v>
      </c>
      <c r="AD43" s="74">
        <f t="shared" si="16"/>
        <v>0.11932170849311659</v>
      </c>
      <c r="AE43" s="73">
        <f t="shared" si="29"/>
        <v>5.5636363636363626</v>
      </c>
      <c r="AF43" s="71">
        <f t="shared" si="17"/>
        <v>6.419680105195833</v>
      </c>
      <c r="AG43" s="71">
        <f t="shared" si="38"/>
        <v>0.16484917061218871</v>
      </c>
      <c r="AH43" s="71">
        <f t="shared" si="39"/>
        <v>2.4346206997590936</v>
      </c>
      <c r="AI43" s="74">
        <f t="shared" si="19"/>
        <v>2.5994698703712822</v>
      </c>
      <c r="AJ43" s="73">
        <f t="shared" si="20"/>
        <v>1.44</v>
      </c>
      <c r="AK43" s="71">
        <f t="shared" si="40"/>
        <v>3.2659931168960252</v>
      </c>
      <c r="AL43" s="71">
        <f t="shared" si="41"/>
        <v>4.2666844158448854E-2</v>
      </c>
      <c r="AM43" s="71">
        <f t="shared" si="48"/>
        <v>0</v>
      </c>
      <c r="AN43" s="188">
        <f t="shared" si="42"/>
        <v>0.11899690739167375</v>
      </c>
      <c r="AO43" s="74">
        <f t="shared" si="24"/>
        <v>0.16166375155012261</v>
      </c>
      <c r="AP43" s="73">
        <f t="shared" si="43"/>
        <v>7.7818505538989086E-2</v>
      </c>
      <c r="AQ43" s="206">
        <f t="shared" si="44"/>
        <v>0.11932170849311659</v>
      </c>
      <c r="AR43" s="206">
        <f t="shared" si="45"/>
        <v>3.0218089420955812</v>
      </c>
      <c r="AS43" s="71">
        <f t="shared" si="46"/>
        <v>0.12000000000000001</v>
      </c>
      <c r="AT43" s="74">
        <f t="shared" si="47"/>
        <v>3.6299999999999995E-5</v>
      </c>
      <c r="AU43" s="73">
        <f t="shared" si="26"/>
        <v>6.2194407865422079</v>
      </c>
      <c r="AV43" s="71">
        <f t="shared" si="27"/>
        <v>77.039999999999992</v>
      </c>
      <c r="AW43" s="74">
        <f t="shared" si="28"/>
        <v>92.5300473702587</v>
      </c>
    </row>
    <row r="44" spans="17:49" x14ac:dyDescent="0.25">
      <c r="Q44">
        <v>37</v>
      </c>
      <c r="R44" s="73">
        <f t="shared" si="0"/>
        <v>53.5</v>
      </c>
      <c r="S44" s="71">
        <f t="shared" si="32"/>
        <v>1.48</v>
      </c>
      <c r="T44" s="71">
        <f t="shared" si="2"/>
        <v>11</v>
      </c>
      <c r="U44" s="74">
        <f t="shared" si="33"/>
        <v>7.1981818181818173</v>
      </c>
      <c r="V44" s="73">
        <f>IF(Variable_Management!$B$20=3,2,IF((S44*R44/T44)&lt;((T44*(1-(T44/R44)))/(2*Lm*Fsw)),1,2))</f>
        <v>2</v>
      </c>
      <c r="W44" s="71">
        <f t="shared" si="34"/>
        <v>0.79439252336448596</v>
      </c>
      <c r="X44" s="74">
        <f t="shared" si="35"/>
        <v>0.20560747663551404</v>
      </c>
      <c r="Y44" s="73">
        <f t="shared" si="36"/>
        <v>5.8255451713395638</v>
      </c>
      <c r="Z44" s="71">
        <f t="shared" si="30"/>
        <v>10.110954403851599</v>
      </c>
      <c r="AA44" s="71">
        <f t="shared" si="31"/>
        <v>7.3920161570584453</v>
      </c>
      <c r="AB44" s="71">
        <v>0</v>
      </c>
      <c r="AC44" s="71">
        <f t="shared" si="37"/>
        <v>0.12567637659229014</v>
      </c>
      <c r="AD44" s="74">
        <f t="shared" si="16"/>
        <v>0.12567637659229014</v>
      </c>
      <c r="AE44" s="73">
        <f t="shared" si="29"/>
        <v>5.7181818181818169</v>
      </c>
      <c r="AF44" s="71">
        <f t="shared" si="17"/>
        <v>6.5884079335851817</v>
      </c>
      <c r="AG44" s="71">
        <f t="shared" si="38"/>
        <v>0.17362847639731266</v>
      </c>
      <c r="AH44" s="71">
        <f t="shared" si="39"/>
        <v>2.5022490525301793</v>
      </c>
      <c r="AI44" s="74">
        <f t="shared" si="19"/>
        <v>2.6758775289274919</v>
      </c>
      <c r="AJ44" s="73">
        <f t="shared" si="20"/>
        <v>1.48</v>
      </c>
      <c r="AK44" s="71">
        <f t="shared" si="40"/>
        <v>3.3518328966231206</v>
      </c>
      <c r="AL44" s="71">
        <f t="shared" si="41"/>
        <v>4.493913506753975E-2</v>
      </c>
      <c r="AM44" s="71">
        <f t="shared" si="48"/>
        <v>0</v>
      </c>
      <c r="AN44" s="188">
        <f t="shared" si="42"/>
        <v>0.12133145284621918</v>
      </c>
      <c r="AO44" s="74">
        <f t="shared" si="24"/>
        <v>0.16627058791375893</v>
      </c>
      <c r="AP44" s="73">
        <f t="shared" si="43"/>
        <v>8.1962854299319668E-2</v>
      </c>
      <c r="AQ44" s="206">
        <f t="shared" si="44"/>
        <v>0.12567637659229014</v>
      </c>
      <c r="AR44" s="206">
        <f t="shared" si="45"/>
        <v>3.0218089420955812</v>
      </c>
      <c r="AS44" s="71">
        <f t="shared" si="46"/>
        <v>0.12000000000000001</v>
      </c>
      <c r="AT44" s="74">
        <f t="shared" si="47"/>
        <v>3.6299999999999995E-5</v>
      </c>
      <c r="AU44" s="73">
        <f t="shared" si="26"/>
        <v>6.3173089664207325</v>
      </c>
      <c r="AV44" s="71">
        <f t="shared" si="27"/>
        <v>79.179999999999993</v>
      </c>
      <c r="AW44" s="74">
        <f t="shared" si="28"/>
        <v>92.611101983453224</v>
      </c>
    </row>
    <row r="45" spans="17:49" x14ac:dyDescent="0.25">
      <c r="Q45">
        <v>38</v>
      </c>
      <c r="R45" s="73">
        <f t="shared" si="0"/>
        <v>53.5</v>
      </c>
      <c r="S45" s="71">
        <f t="shared" si="32"/>
        <v>1.52</v>
      </c>
      <c r="T45" s="71">
        <f t="shared" si="2"/>
        <v>11</v>
      </c>
      <c r="U45" s="74">
        <f t="shared" si="33"/>
        <v>7.3927272727272735</v>
      </c>
      <c r="V45" s="73">
        <f>IF(Variable_Management!$B$20=3,2,IF((S45*R45/T45)&lt;((T45*(1-(T45/R45)))/(2*Lm*Fsw)),1,2))</f>
        <v>2</v>
      </c>
      <c r="W45" s="71">
        <f t="shared" si="34"/>
        <v>0.79439252336448596</v>
      </c>
      <c r="X45" s="74">
        <f t="shared" si="35"/>
        <v>0.20560747663551404</v>
      </c>
      <c r="Y45" s="73">
        <f t="shared" si="36"/>
        <v>5.8255451713395638</v>
      </c>
      <c r="Z45" s="71">
        <f t="shared" si="30"/>
        <v>10.305499858397056</v>
      </c>
      <c r="AA45" s="71">
        <f t="shared" si="31"/>
        <v>7.5815894051007167</v>
      </c>
      <c r="AB45" s="71">
        <v>0</v>
      </c>
      <c r="AC45" s="71">
        <f t="shared" si="37"/>
        <v>0.13220514518733151</v>
      </c>
      <c r="AD45" s="74">
        <f t="shared" si="16"/>
        <v>0.13220514518733151</v>
      </c>
      <c r="AE45" s="73">
        <f t="shared" si="29"/>
        <v>5.872727272727273</v>
      </c>
      <c r="AF45" s="71">
        <f t="shared" si="17"/>
        <v>6.75737210585699</v>
      </c>
      <c r="AG45" s="71">
        <f t="shared" si="38"/>
        <v>0.18264831110805654</v>
      </c>
      <c r="AH45" s="71">
        <f t="shared" si="39"/>
        <v>2.5698774053012658</v>
      </c>
      <c r="AI45" s="74">
        <f t="shared" si="19"/>
        <v>2.7525257164093224</v>
      </c>
      <c r="AJ45" s="73">
        <f t="shared" si="20"/>
        <v>1.5200000000000002</v>
      </c>
      <c r="AK45" s="71">
        <f t="shared" si="40"/>
        <v>3.4377929155958924</v>
      </c>
      <c r="AL45" s="71">
        <f t="shared" si="41"/>
        <v>4.7273680522085228E-2</v>
      </c>
      <c r="AM45" s="71">
        <f t="shared" si="48"/>
        <v>0</v>
      </c>
      <c r="AN45" s="188">
        <f t="shared" si="42"/>
        <v>0.12366599830076468</v>
      </c>
      <c r="AO45" s="74">
        <f t="shared" si="24"/>
        <v>0.17093967882284991</v>
      </c>
      <c r="AP45" s="73">
        <f t="shared" si="43"/>
        <v>8.6220746861303155E-2</v>
      </c>
      <c r="AQ45" s="206">
        <f t="shared" si="44"/>
        <v>0.13220514518733151</v>
      </c>
      <c r="AR45" s="206">
        <f t="shared" si="45"/>
        <v>3.0218089420955812</v>
      </c>
      <c r="AS45" s="71">
        <f t="shared" si="46"/>
        <v>0.12000000000000001</v>
      </c>
      <c r="AT45" s="74">
        <f t="shared" si="47"/>
        <v>3.6299999999999995E-5</v>
      </c>
      <c r="AU45" s="73">
        <f t="shared" si="26"/>
        <v>6.4159416745637197</v>
      </c>
      <c r="AV45" s="71">
        <f t="shared" si="27"/>
        <v>81.320000000000007</v>
      </c>
      <c r="AW45" s="74">
        <f t="shared" si="28"/>
        <v>92.68721398311061</v>
      </c>
    </row>
    <row r="46" spans="17:49" x14ac:dyDescent="0.25">
      <c r="Q46">
        <v>39</v>
      </c>
      <c r="R46" s="73">
        <f t="shared" si="0"/>
        <v>53.5</v>
      </c>
      <c r="S46" s="71">
        <f t="shared" si="32"/>
        <v>1.56</v>
      </c>
      <c r="T46" s="71">
        <f t="shared" si="2"/>
        <v>11</v>
      </c>
      <c r="U46" s="74">
        <f t="shared" si="33"/>
        <v>7.5872727272727278</v>
      </c>
      <c r="V46" s="73">
        <f>IF(Variable_Management!$B$20=3,2,IF((S46*R46/T46)&lt;((T46*(1-(T46/R46)))/(2*Lm*Fsw)),1,2))</f>
        <v>2</v>
      </c>
      <c r="W46" s="71">
        <f t="shared" si="34"/>
        <v>0.79439252336448596</v>
      </c>
      <c r="X46" s="74">
        <f t="shared" si="35"/>
        <v>0.20560747663551404</v>
      </c>
      <c r="Y46" s="73">
        <f t="shared" si="36"/>
        <v>5.8255451713395638</v>
      </c>
      <c r="Z46" s="71">
        <f t="shared" si="30"/>
        <v>10.500045312942509</v>
      </c>
      <c r="AA46" s="71">
        <f t="shared" si="31"/>
        <v>7.7714084191108075</v>
      </c>
      <c r="AB46" s="71">
        <v>0</v>
      </c>
      <c r="AC46" s="71">
        <f t="shared" si="37"/>
        <v>0.13890801427824057</v>
      </c>
      <c r="AD46" s="74">
        <f t="shared" si="16"/>
        <v>0.13890801427824057</v>
      </c>
      <c r="AE46" s="73">
        <f t="shared" si="29"/>
        <v>6.0272727272727273</v>
      </c>
      <c r="AF46" s="71">
        <f t="shared" si="17"/>
        <v>6.9265553261419219</v>
      </c>
      <c r="AG46" s="71">
        <f t="shared" si="38"/>
        <v>0.19190867474442011</v>
      </c>
      <c r="AH46" s="71">
        <f t="shared" si="39"/>
        <v>2.6375057580723515</v>
      </c>
      <c r="AI46" s="74">
        <f t="shared" si="19"/>
        <v>2.8294144328167716</v>
      </c>
      <c r="AJ46" s="73">
        <f t="shared" si="20"/>
        <v>1.5600000000000003</v>
      </c>
      <c r="AK46" s="71">
        <f t="shared" si="40"/>
        <v>3.5238643745923741</v>
      </c>
      <c r="AL46" s="71">
        <f t="shared" si="41"/>
        <v>4.9670480522085211E-2</v>
      </c>
      <c r="AM46" s="71">
        <f t="shared" si="48"/>
        <v>0</v>
      </c>
      <c r="AN46" s="188">
        <f t="shared" si="42"/>
        <v>0.12600054375531011</v>
      </c>
      <c r="AO46" s="74">
        <f t="shared" si="24"/>
        <v>0.17567102427739534</v>
      </c>
      <c r="AP46" s="73">
        <f t="shared" si="43"/>
        <v>9.0592183224939504E-2</v>
      </c>
      <c r="AQ46" s="206">
        <f t="shared" si="44"/>
        <v>0.13890801427824057</v>
      </c>
      <c r="AR46" s="206">
        <f t="shared" si="45"/>
        <v>3.0218089420955812</v>
      </c>
      <c r="AS46" s="71">
        <f t="shared" si="46"/>
        <v>0.12000000000000001</v>
      </c>
      <c r="AT46" s="74">
        <f t="shared" si="47"/>
        <v>3.6299999999999995E-5</v>
      </c>
      <c r="AU46" s="73">
        <f t="shared" si="26"/>
        <v>6.5153389109711686</v>
      </c>
      <c r="AV46" s="71">
        <f t="shared" si="27"/>
        <v>83.460000000000008</v>
      </c>
      <c r="AW46" s="74">
        <f t="shared" si="28"/>
        <v>92.758750353340744</v>
      </c>
    </row>
    <row r="47" spans="17:49" x14ac:dyDescent="0.25">
      <c r="Q47">
        <v>40</v>
      </c>
      <c r="R47" s="73">
        <f t="shared" si="0"/>
        <v>53.5</v>
      </c>
      <c r="S47" s="71">
        <f t="shared" si="32"/>
        <v>1.6</v>
      </c>
      <c r="T47" s="71">
        <f t="shared" si="2"/>
        <v>11</v>
      </c>
      <c r="U47" s="74">
        <f t="shared" si="33"/>
        <v>7.7818181818181822</v>
      </c>
      <c r="V47" s="73">
        <f>IF(Variable_Management!$B$20=3,2,IF((S47*R47/T47)&lt;((T47*(1-(T47/R47)))/(2*Lm*Fsw)),1,2))</f>
        <v>2</v>
      </c>
      <c r="W47" s="71">
        <f t="shared" si="34"/>
        <v>0.79439252336448596</v>
      </c>
      <c r="X47" s="74">
        <f t="shared" si="35"/>
        <v>0.20560747663551404</v>
      </c>
      <c r="Y47" s="73">
        <f t="shared" si="36"/>
        <v>5.8255451713395638</v>
      </c>
      <c r="Z47" s="71">
        <f t="shared" si="30"/>
        <v>10.694590767487965</v>
      </c>
      <c r="AA47" s="71">
        <f t="shared" si="31"/>
        <v>7.9614556202673041</v>
      </c>
      <c r="AB47" s="71">
        <v>0</v>
      </c>
      <c r="AC47" s="71">
        <f t="shared" si="37"/>
        <v>0.14578498386501743</v>
      </c>
      <c r="AD47" s="74">
        <f t="shared" si="16"/>
        <v>0.14578498386501743</v>
      </c>
      <c r="AE47" s="73">
        <f t="shared" si="29"/>
        <v>6.1818181818181817</v>
      </c>
      <c r="AF47" s="71">
        <f t="shared" si="17"/>
        <v>7.09594192666491</v>
      </c>
      <c r="AG47" s="71">
        <f t="shared" si="38"/>
        <v>0.20140956730640366</v>
      </c>
      <c r="AH47" s="71">
        <f t="shared" si="39"/>
        <v>2.7051341108434372</v>
      </c>
      <c r="AI47" s="74">
        <f t="shared" si="19"/>
        <v>2.9065436781498408</v>
      </c>
      <c r="AJ47" s="73">
        <f t="shared" si="20"/>
        <v>1.6000000000000003</v>
      </c>
      <c r="AK47" s="71">
        <f t="shared" si="40"/>
        <v>3.6100393026787043</v>
      </c>
      <c r="AL47" s="71">
        <f t="shared" si="41"/>
        <v>5.2129535067539784E-2</v>
      </c>
      <c r="AM47" s="71">
        <f t="shared" si="48"/>
        <v>0</v>
      </c>
      <c r="AN47" s="188">
        <f t="shared" si="42"/>
        <v>0.12833508920985559</v>
      </c>
      <c r="AO47" s="74">
        <f t="shared" si="24"/>
        <v>0.18046462427739537</v>
      </c>
      <c r="AP47" s="73">
        <f t="shared" si="43"/>
        <v>9.5077163390228758E-2</v>
      </c>
      <c r="AQ47" s="206">
        <f t="shared" si="44"/>
        <v>0.14578498386501743</v>
      </c>
      <c r="AR47" s="206">
        <f t="shared" si="45"/>
        <v>3.0218089420955812</v>
      </c>
      <c r="AS47" s="71">
        <f t="shared" si="46"/>
        <v>0.12000000000000001</v>
      </c>
      <c r="AT47" s="74">
        <f t="shared" si="47"/>
        <v>3.6299999999999995E-5</v>
      </c>
      <c r="AU47" s="73">
        <f t="shared" si="26"/>
        <v>6.615500675643081</v>
      </c>
      <c r="AV47" s="71">
        <f t="shared" si="27"/>
        <v>85.600000000000009</v>
      </c>
      <c r="AW47" s="74">
        <f t="shared" si="28"/>
        <v>92.826042664006891</v>
      </c>
    </row>
    <row r="48" spans="17:49" x14ac:dyDescent="0.25">
      <c r="Q48">
        <v>41</v>
      </c>
      <c r="R48" s="73">
        <f t="shared" si="0"/>
        <v>53.5</v>
      </c>
      <c r="S48" s="71">
        <f t="shared" si="32"/>
        <v>1.6400000000000001</v>
      </c>
      <c r="T48" s="71">
        <f t="shared" si="2"/>
        <v>11</v>
      </c>
      <c r="U48" s="74">
        <f t="shared" si="33"/>
        <v>7.9763636363636374</v>
      </c>
      <c r="V48" s="73">
        <f>IF(Variable_Management!$B$20=3,2,IF((S48*R48/T48)&lt;((T48*(1-(T48/R48)))/(2*Lm*Fsw)),1,2))</f>
        <v>2</v>
      </c>
      <c r="W48" s="71">
        <f t="shared" si="34"/>
        <v>0.79439252336448596</v>
      </c>
      <c r="X48" s="74">
        <f t="shared" si="35"/>
        <v>0.20560747663551404</v>
      </c>
      <c r="Y48" s="73">
        <f t="shared" si="36"/>
        <v>5.8255451713395638</v>
      </c>
      <c r="Z48" s="71">
        <f t="shared" si="30"/>
        <v>10.88913622203342</v>
      </c>
      <c r="AA48" s="71">
        <f t="shared" si="31"/>
        <v>8.1517150488786072</v>
      </c>
      <c r="AB48" s="71">
        <v>0</v>
      </c>
      <c r="AC48" s="71">
        <f t="shared" si="37"/>
        <v>0.15283605394766209</v>
      </c>
      <c r="AD48" s="74">
        <f t="shared" si="16"/>
        <v>0.15283605394766209</v>
      </c>
      <c r="AE48" s="73">
        <f t="shared" si="29"/>
        <v>6.3363636363636369</v>
      </c>
      <c r="AF48" s="71">
        <f t="shared" si="17"/>
        <v>7.2655176827602403</v>
      </c>
      <c r="AG48" s="71">
        <f t="shared" si="38"/>
        <v>0.21115098879400693</v>
      </c>
      <c r="AH48" s="71">
        <f t="shared" si="39"/>
        <v>2.7727624636145238</v>
      </c>
      <c r="AI48" s="74">
        <f t="shared" si="19"/>
        <v>2.9839134524085309</v>
      </c>
      <c r="AJ48" s="73">
        <f t="shared" si="20"/>
        <v>1.6400000000000003</v>
      </c>
      <c r="AK48" s="71">
        <f t="shared" si="40"/>
        <v>3.6963104630986039</v>
      </c>
      <c r="AL48" s="71">
        <f t="shared" si="41"/>
        <v>5.4650844158448862E-2</v>
      </c>
      <c r="AM48" s="71">
        <f t="shared" si="48"/>
        <v>0</v>
      </c>
      <c r="AN48" s="188">
        <f t="shared" si="42"/>
        <v>0.13066963466440104</v>
      </c>
      <c r="AO48" s="74">
        <f t="shared" si="24"/>
        <v>0.18532047882284991</v>
      </c>
      <c r="AP48" s="73">
        <f t="shared" si="43"/>
        <v>9.9675687357170931E-2</v>
      </c>
      <c r="AQ48" s="206">
        <f t="shared" si="44"/>
        <v>0.15283605394766209</v>
      </c>
      <c r="AR48" s="206">
        <f t="shared" si="45"/>
        <v>3.0218089420955812</v>
      </c>
      <c r="AS48" s="71">
        <f t="shared" si="46"/>
        <v>0.12000000000000001</v>
      </c>
      <c r="AT48" s="74">
        <f t="shared" si="47"/>
        <v>3.6299999999999995E-5</v>
      </c>
      <c r="AU48" s="73">
        <f t="shared" si="26"/>
        <v>6.7164269685794569</v>
      </c>
      <c r="AV48" s="71">
        <f t="shared" si="27"/>
        <v>87.740000000000009</v>
      </c>
      <c r="AW48" s="74">
        <f t="shared" si="28"/>
        <v>92.889391241938839</v>
      </c>
    </row>
    <row r="49" spans="17:49" x14ac:dyDescent="0.25">
      <c r="Q49">
        <v>42</v>
      </c>
      <c r="R49" s="73">
        <f t="shared" si="0"/>
        <v>53.5</v>
      </c>
      <c r="S49" s="71">
        <f t="shared" si="32"/>
        <v>1.68</v>
      </c>
      <c r="T49" s="71">
        <f t="shared" si="2"/>
        <v>11</v>
      </c>
      <c r="U49" s="74">
        <f t="shared" si="33"/>
        <v>8.17090909090909</v>
      </c>
      <c r="V49" s="73">
        <f>IF(Variable_Management!$B$20=3,2,IF((S49*R49/T49)&lt;((T49*(1-(T49/R49)))/(2*Lm*Fsw)),1,2))</f>
        <v>2</v>
      </c>
      <c r="W49" s="71">
        <f t="shared" si="34"/>
        <v>0.79439252336448596</v>
      </c>
      <c r="X49" s="74">
        <f t="shared" si="35"/>
        <v>0.20560747663551404</v>
      </c>
      <c r="Y49" s="73">
        <f t="shared" si="36"/>
        <v>5.8255451713395638</v>
      </c>
      <c r="Z49" s="71">
        <f t="shared" si="30"/>
        <v>11.083681676578871</v>
      </c>
      <c r="AA49" s="71">
        <f t="shared" si="31"/>
        <v>8.3421721841802459</v>
      </c>
      <c r="AB49" s="71">
        <v>0</v>
      </c>
      <c r="AC49" s="71">
        <f t="shared" si="37"/>
        <v>0.16006122452617441</v>
      </c>
      <c r="AD49" s="74">
        <f t="shared" si="16"/>
        <v>0.16006122452617441</v>
      </c>
      <c r="AE49" s="73">
        <f t="shared" si="29"/>
        <v>6.4909090909090903</v>
      </c>
      <c r="AF49" s="71">
        <f t="shared" si="17"/>
        <v>7.4352696522592563</v>
      </c>
      <c r="AG49" s="71">
        <f t="shared" si="38"/>
        <v>0.22113293920722993</v>
      </c>
      <c r="AH49" s="71">
        <f t="shared" si="39"/>
        <v>2.8403908163856086</v>
      </c>
      <c r="AI49" s="74">
        <f t="shared" si="19"/>
        <v>3.0615237555928387</v>
      </c>
      <c r="AJ49" s="73">
        <f t="shared" si="20"/>
        <v>1.68</v>
      </c>
      <c r="AK49" s="71">
        <f t="shared" si="40"/>
        <v>3.7826712715623483</v>
      </c>
      <c r="AL49" s="71">
        <f t="shared" si="41"/>
        <v>5.7234407794812446E-2</v>
      </c>
      <c r="AM49" s="71">
        <f t="shared" si="48"/>
        <v>0</v>
      </c>
      <c r="AN49" s="188">
        <f t="shared" si="42"/>
        <v>0.13300418011894646</v>
      </c>
      <c r="AO49" s="74">
        <f t="shared" si="24"/>
        <v>0.19023858791375892</v>
      </c>
      <c r="AP49" s="73">
        <f t="shared" si="43"/>
        <v>0.10438775512576591</v>
      </c>
      <c r="AQ49" s="206">
        <f t="shared" si="44"/>
        <v>0.16006122452617441</v>
      </c>
      <c r="AR49" s="206">
        <f t="shared" si="45"/>
        <v>3.0218089420955812</v>
      </c>
      <c r="AS49" s="71">
        <f t="shared" si="46"/>
        <v>0.12000000000000001</v>
      </c>
      <c r="AT49" s="74">
        <f t="shared" si="47"/>
        <v>3.6299999999999995E-5</v>
      </c>
      <c r="AU49" s="73">
        <f t="shared" si="26"/>
        <v>6.8181177897802936</v>
      </c>
      <c r="AV49" s="71">
        <f t="shared" si="27"/>
        <v>89.88</v>
      </c>
      <c r="AW49" s="74">
        <f t="shared" si="28"/>
        <v>92.949068766154539</v>
      </c>
    </row>
    <row r="50" spans="17:49" x14ac:dyDescent="0.25">
      <c r="Q50">
        <v>43</v>
      </c>
      <c r="R50" s="73">
        <f t="shared" si="0"/>
        <v>53.5</v>
      </c>
      <c r="S50" s="71">
        <f t="shared" si="32"/>
        <v>1.72</v>
      </c>
      <c r="T50" s="71">
        <f t="shared" si="2"/>
        <v>11</v>
      </c>
      <c r="U50" s="74">
        <f t="shared" si="33"/>
        <v>8.3654545454545453</v>
      </c>
      <c r="V50" s="73">
        <f>IF(Variable_Management!$B$20=3,2,IF((S50*R50/T50)&lt;((T50*(1-(T50/R50)))/(2*Lm*Fsw)),1,2))</f>
        <v>2</v>
      </c>
      <c r="W50" s="71">
        <f t="shared" si="34"/>
        <v>0.79439252336448596</v>
      </c>
      <c r="X50" s="74">
        <f t="shared" si="35"/>
        <v>0.20560747663551404</v>
      </c>
      <c r="Y50" s="73">
        <f t="shared" si="36"/>
        <v>5.8255451713395638</v>
      </c>
      <c r="Z50" s="71">
        <f t="shared" si="30"/>
        <v>11.278227131124327</v>
      </c>
      <c r="AA50" s="71">
        <f t="shared" si="31"/>
        <v>8.5328137874136178</v>
      </c>
      <c r="AB50" s="71">
        <v>0</v>
      </c>
      <c r="AC50" s="71">
        <f t="shared" si="37"/>
        <v>0.16746049560055462</v>
      </c>
      <c r="AD50" s="74">
        <f t="shared" si="16"/>
        <v>0.16746049560055462</v>
      </c>
      <c r="AE50" s="73">
        <f t="shared" si="29"/>
        <v>6.6454545454545455</v>
      </c>
      <c r="AF50" s="71">
        <f t="shared" si="17"/>
        <v>7.6051860356284671</v>
      </c>
      <c r="AG50" s="71">
        <f t="shared" si="38"/>
        <v>0.23135541854607297</v>
      </c>
      <c r="AH50" s="71">
        <f t="shared" si="39"/>
        <v>2.9080191691566952</v>
      </c>
      <c r="AI50" s="74">
        <f t="shared" si="19"/>
        <v>3.1393745877027683</v>
      </c>
      <c r="AJ50" s="73">
        <f t="shared" si="20"/>
        <v>1.7200000000000002</v>
      </c>
      <c r="AK50" s="71">
        <f t="shared" si="40"/>
        <v>3.8691157250924482</v>
      </c>
      <c r="AL50" s="71">
        <f t="shared" si="41"/>
        <v>5.988022597663064E-2</v>
      </c>
      <c r="AM50" s="71">
        <f t="shared" si="48"/>
        <v>0</v>
      </c>
      <c r="AN50" s="188">
        <f t="shared" si="42"/>
        <v>0.13533872557349191</v>
      </c>
      <c r="AO50" s="74">
        <f t="shared" si="24"/>
        <v>0.19521895155012256</v>
      </c>
      <c r="AP50" s="73">
        <f t="shared" si="43"/>
        <v>0.10921336669601389</v>
      </c>
      <c r="AQ50" s="206">
        <f t="shared" si="44"/>
        <v>0.16746049560055462</v>
      </c>
      <c r="AR50" s="206">
        <f t="shared" si="45"/>
        <v>3.0218089420955812</v>
      </c>
      <c r="AS50" s="71">
        <f t="shared" si="46"/>
        <v>0.12000000000000001</v>
      </c>
      <c r="AT50" s="74">
        <f t="shared" si="47"/>
        <v>3.6299999999999995E-5</v>
      </c>
      <c r="AU50" s="73">
        <f t="shared" si="26"/>
        <v>6.9205731392455956</v>
      </c>
      <c r="AV50" s="71">
        <f t="shared" si="27"/>
        <v>92.02</v>
      </c>
      <c r="AW50" s="74">
        <f t="shared" si="28"/>
        <v>93.005323377795861</v>
      </c>
    </row>
    <row r="51" spans="17:49" x14ac:dyDescent="0.25">
      <c r="Q51">
        <v>44</v>
      </c>
      <c r="R51" s="73">
        <f t="shared" si="0"/>
        <v>53.5</v>
      </c>
      <c r="S51" s="71">
        <f t="shared" si="32"/>
        <v>1.76</v>
      </c>
      <c r="T51" s="71">
        <f t="shared" si="2"/>
        <v>11</v>
      </c>
      <c r="U51" s="74">
        <f t="shared" si="33"/>
        <v>8.56</v>
      </c>
      <c r="V51" s="73">
        <f>IF(Variable_Management!$B$20=3,2,IF((S51*R51/T51)&lt;((T51*(1-(T51/R51)))/(2*Lm*Fsw)),1,2))</f>
        <v>2</v>
      </c>
      <c r="W51" s="71">
        <f t="shared" si="34"/>
        <v>0.79439252336448596</v>
      </c>
      <c r="X51" s="74">
        <f t="shared" si="35"/>
        <v>0.20560747663551404</v>
      </c>
      <c r="Y51" s="73">
        <f t="shared" si="36"/>
        <v>5.8255451713395638</v>
      </c>
      <c r="Z51" s="71">
        <f t="shared" si="30"/>
        <v>11.472772585669782</v>
      </c>
      <c r="AA51" s="71">
        <f t="shared" si="31"/>
        <v>8.723627764789704</v>
      </c>
      <c r="AB51" s="71">
        <v>0</v>
      </c>
      <c r="AC51" s="71">
        <f t="shared" si="37"/>
        <v>0.17503386717080258</v>
      </c>
      <c r="AD51" s="74">
        <f t="shared" si="16"/>
        <v>0.17503386717080258</v>
      </c>
      <c r="AE51" s="73">
        <f t="shared" si="29"/>
        <v>6.8</v>
      </c>
      <c r="AF51" s="71">
        <f t="shared" si="17"/>
        <v>7.7752560538308941</v>
      </c>
      <c r="AG51" s="71">
        <f t="shared" si="38"/>
        <v>0.24181842681053586</v>
      </c>
      <c r="AH51" s="71">
        <f t="shared" si="39"/>
        <v>2.9756475219277814</v>
      </c>
      <c r="AI51" s="74">
        <f t="shared" si="19"/>
        <v>3.217465948738317</v>
      </c>
      <c r="AJ51" s="73">
        <f t="shared" si="20"/>
        <v>1.7600000000000002</v>
      </c>
      <c r="AK51" s="71">
        <f t="shared" si="40"/>
        <v>3.9556383398859727</v>
      </c>
      <c r="AL51" s="71">
        <f t="shared" si="41"/>
        <v>6.2588298703903422E-2</v>
      </c>
      <c r="AM51" s="71">
        <f t="shared" si="48"/>
        <v>0</v>
      </c>
      <c r="AN51" s="188">
        <f t="shared" si="42"/>
        <v>0.13767327102803739</v>
      </c>
      <c r="AO51" s="74">
        <f t="shared" si="24"/>
        <v>0.20026156973194081</v>
      </c>
      <c r="AP51" s="73">
        <f t="shared" si="43"/>
        <v>0.11415252206791472</v>
      </c>
      <c r="AQ51" s="206">
        <f t="shared" si="44"/>
        <v>0.17503386717080258</v>
      </c>
      <c r="AR51" s="206">
        <f t="shared" si="45"/>
        <v>3.0218089420955812</v>
      </c>
      <c r="AS51" s="71">
        <f t="shared" si="46"/>
        <v>0.12000000000000001</v>
      </c>
      <c r="AT51" s="74">
        <f t="shared" si="47"/>
        <v>3.6299999999999995E-5</v>
      </c>
      <c r="AU51" s="73">
        <f t="shared" si="26"/>
        <v>7.0237930169753593</v>
      </c>
      <c r="AV51" s="71">
        <f t="shared" si="27"/>
        <v>94.16</v>
      </c>
      <c r="AW51" s="74">
        <f t="shared" si="28"/>
        <v>93.058381379518949</v>
      </c>
    </row>
    <row r="52" spans="17:49" x14ac:dyDescent="0.25">
      <c r="Q52">
        <v>45</v>
      </c>
      <c r="R52" s="73">
        <f t="shared" si="0"/>
        <v>53.5</v>
      </c>
      <c r="S52" s="71">
        <f t="shared" si="32"/>
        <v>1.8</v>
      </c>
      <c r="T52" s="71">
        <f t="shared" si="2"/>
        <v>11</v>
      </c>
      <c r="U52" s="74">
        <f t="shared" si="33"/>
        <v>8.754545454545454</v>
      </c>
      <c r="V52" s="73">
        <f>IF(Variable_Management!$B$20=3,2,IF((S52*R52/T52)&lt;((T52*(1-(T52/R52)))/(2*Lm*Fsw)),1,2))</f>
        <v>2</v>
      </c>
      <c r="W52" s="71">
        <f t="shared" si="34"/>
        <v>0.79439252336448596</v>
      </c>
      <c r="X52" s="74">
        <f t="shared" si="35"/>
        <v>0.20560747663551404</v>
      </c>
      <c r="Y52" s="73">
        <f t="shared" si="36"/>
        <v>5.8255451713395638</v>
      </c>
      <c r="Z52" s="71">
        <f t="shared" si="30"/>
        <v>11.667318040215235</v>
      </c>
      <c r="AA52" s="71">
        <f t="shared" si="31"/>
        <v>8.9146030474896794</v>
      </c>
      <c r="AB52" s="71">
        <v>0</v>
      </c>
      <c r="AC52" s="71">
        <f t="shared" si="37"/>
        <v>0.18278133923691822</v>
      </c>
      <c r="AD52" s="74">
        <f t="shared" si="16"/>
        <v>0.18278133923691822</v>
      </c>
      <c r="AE52" s="73">
        <f t="shared" si="29"/>
        <v>6.9545454545454541</v>
      </c>
      <c r="AF52" s="71">
        <f t="shared" si="17"/>
        <v>7.9454698413721649</v>
      </c>
      <c r="AG52" s="71">
        <f t="shared" si="38"/>
        <v>0.25252196400061844</v>
      </c>
      <c r="AH52" s="71">
        <f t="shared" si="39"/>
        <v>3.0432758746988666</v>
      </c>
      <c r="AI52" s="74">
        <f t="shared" si="19"/>
        <v>3.2957978386994853</v>
      </c>
      <c r="AJ52" s="73">
        <f t="shared" si="20"/>
        <v>1.8</v>
      </c>
      <c r="AK52" s="71">
        <f t="shared" si="40"/>
        <v>4.0422340969020674</v>
      </c>
      <c r="AL52" s="71">
        <f t="shared" si="41"/>
        <v>6.5358625976630697E-2</v>
      </c>
      <c r="AM52" s="71">
        <f t="shared" si="48"/>
        <v>0</v>
      </c>
      <c r="AN52" s="188">
        <f t="shared" si="42"/>
        <v>0.14000781648258284</v>
      </c>
      <c r="AO52" s="74">
        <f t="shared" si="24"/>
        <v>0.20536644245921354</v>
      </c>
      <c r="AP52" s="73">
        <f t="shared" si="43"/>
        <v>0.11920522124146841</v>
      </c>
      <c r="AQ52" s="206">
        <f t="shared" si="44"/>
        <v>0.18278133923691822</v>
      </c>
      <c r="AR52" s="206">
        <f t="shared" si="45"/>
        <v>3.0218089420955812</v>
      </c>
      <c r="AS52" s="71">
        <f t="shared" si="46"/>
        <v>0.12000000000000001</v>
      </c>
      <c r="AT52" s="74">
        <f t="shared" si="47"/>
        <v>3.6299999999999995E-5</v>
      </c>
      <c r="AU52" s="73">
        <f t="shared" si="26"/>
        <v>7.1277774229695856</v>
      </c>
      <c r="AV52" s="71">
        <f t="shared" si="27"/>
        <v>96.3</v>
      </c>
      <c r="AW52" s="74">
        <f t="shared" si="28"/>
        <v>93.108449586206973</v>
      </c>
    </row>
    <row r="53" spans="17:49" x14ac:dyDescent="0.25">
      <c r="Q53">
        <v>46</v>
      </c>
      <c r="R53" s="73">
        <f t="shared" si="0"/>
        <v>53.5</v>
      </c>
      <c r="S53" s="71">
        <f t="shared" si="32"/>
        <v>1.84</v>
      </c>
      <c r="T53" s="71">
        <f t="shared" si="2"/>
        <v>11</v>
      </c>
      <c r="U53" s="74">
        <f t="shared" si="33"/>
        <v>8.9490909090909092</v>
      </c>
      <c r="V53" s="73">
        <f>IF(Variable_Management!$B$20=3,2,IF((S53*R53/T53)&lt;((T53*(1-(T53/R53)))/(2*Lm*Fsw)),1,2))</f>
        <v>2</v>
      </c>
      <c r="W53" s="71">
        <f t="shared" si="34"/>
        <v>0.79439252336448596</v>
      </c>
      <c r="X53" s="74">
        <f t="shared" si="35"/>
        <v>0.20560747663551404</v>
      </c>
      <c r="Y53" s="73">
        <f t="shared" si="36"/>
        <v>5.8255451713395638</v>
      </c>
      <c r="Z53" s="71">
        <f t="shared" si="30"/>
        <v>11.861863494760691</v>
      </c>
      <c r="AA53" s="71">
        <f t="shared" si="31"/>
        <v>9.1057294863060463</v>
      </c>
      <c r="AB53" s="71">
        <v>0</v>
      </c>
      <c r="AC53" s="71">
        <f t="shared" si="37"/>
        <v>0.19070291179890175</v>
      </c>
      <c r="AD53" s="74">
        <f t="shared" si="16"/>
        <v>0.19070291179890175</v>
      </c>
      <c r="AE53" s="73">
        <f t="shared" si="29"/>
        <v>7.1090909090909093</v>
      </c>
      <c r="AF53" s="71">
        <f t="shared" si="17"/>
        <v>8.1158183523955376</v>
      </c>
      <c r="AG53" s="71">
        <f t="shared" si="38"/>
        <v>0.26346603011632092</v>
      </c>
      <c r="AH53" s="71">
        <f t="shared" si="39"/>
        <v>3.1109042274699532</v>
      </c>
      <c r="AI53" s="74">
        <f t="shared" si="19"/>
        <v>3.374370257586274</v>
      </c>
      <c r="AJ53" s="73">
        <f t="shared" si="20"/>
        <v>1.8400000000000003</v>
      </c>
      <c r="AK53" s="71">
        <f t="shared" si="40"/>
        <v>4.128898394088079</v>
      </c>
      <c r="AL53" s="71">
        <f t="shared" si="41"/>
        <v>6.819120779481247E-2</v>
      </c>
      <c r="AM53" s="71">
        <f t="shared" si="48"/>
        <v>0</v>
      </c>
      <c r="AN53" s="188">
        <f t="shared" si="42"/>
        <v>0.14234236193712829</v>
      </c>
      <c r="AO53" s="74">
        <f t="shared" si="24"/>
        <v>0.21053356973194076</v>
      </c>
      <c r="AP53" s="73">
        <f t="shared" si="43"/>
        <v>0.12437146421667507</v>
      </c>
      <c r="AQ53" s="206">
        <f t="shared" si="44"/>
        <v>0.19070291179890175</v>
      </c>
      <c r="AR53" s="206">
        <f t="shared" si="45"/>
        <v>3.0218089420955812</v>
      </c>
      <c r="AS53" s="71">
        <f t="shared" si="46"/>
        <v>0.12000000000000001</v>
      </c>
      <c r="AT53" s="74">
        <f t="shared" si="47"/>
        <v>3.6299999999999995E-5</v>
      </c>
      <c r="AU53" s="73">
        <f t="shared" si="26"/>
        <v>7.2325263572282745</v>
      </c>
      <c r="AV53" s="71">
        <f t="shared" si="27"/>
        <v>98.44</v>
      </c>
      <c r="AW53" s="74">
        <f t="shared" si="28"/>
        <v>93.155717378442745</v>
      </c>
    </row>
    <row r="54" spans="17:49" x14ac:dyDescent="0.25">
      <c r="Q54">
        <v>47</v>
      </c>
      <c r="R54" s="73">
        <f t="shared" si="0"/>
        <v>53.5</v>
      </c>
      <c r="S54" s="71">
        <f t="shared" si="32"/>
        <v>1.8800000000000001</v>
      </c>
      <c r="T54" s="71">
        <f t="shared" si="2"/>
        <v>11</v>
      </c>
      <c r="U54" s="74">
        <f t="shared" si="33"/>
        <v>9.1436363636363645</v>
      </c>
      <c r="V54" s="73">
        <f>IF(Variable_Management!$B$20=3,2,IF((S54*R54/T54)&lt;((T54*(1-(T54/R54)))/(2*Lm*Fsw)),1,2))</f>
        <v>2</v>
      </c>
      <c r="W54" s="71">
        <f t="shared" si="34"/>
        <v>0.79439252336448596</v>
      </c>
      <c r="X54" s="74">
        <f t="shared" si="35"/>
        <v>0.20560747663551404</v>
      </c>
      <c r="Y54" s="73">
        <f t="shared" si="36"/>
        <v>5.8255451713395638</v>
      </c>
      <c r="Z54" s="71">
        <f t="shared" si="30"/>
        <v>12.056408949306146</v>
      </c>
      <c r="AA54" s="71">
        <f t="shared" si="31"/>
        <v>9.2969977589016892</v>
      </c>
      <c r="AB54" s="71">
        <v>0</v>
      </c>
      <c r="AC54" s="71">
        <f t="shared" si="37"/>
        <v>0.19879858485675295</v>
      </c>
      <c r="AD54" s="74">
        <f t="shared" si="16"/>
        <v>0.19879858485675295</v>
      </c>
      <c r="AE54" s="73">
        <f t="shared" si="29"/>
        <v>7.2636363636363637</v>
      </c>
      <c r="AF54" s="71">
        <f t="shared" si="17"/>
        <v>8.286293278023102</v>
      </c>
      <c r="AG54" s="71">
        <f t="shared" si="38"/>
        <v>0.27465062515764338</v>
      </c>
      <c r="AH54" s="71">
        <f t="shared" si="39"/>
        <v>3.1785325802410389</v>
      </c>
      <c r="AI54" s="74">
        <f t="shared" si="19"/>
        <v>3.4531832053986822</v>
      </c>
      <c r="AJ54" s="73">
        <f t="shared" si="20"/>
        <v>1.8800000000000003</v>
      </c>
      <c r="AK54" s="71">
        <f t="shared" si="40"/>
        <v>4.21562700432714</v>
      </c>
      <c r="AL54" s="71">
        <f t="shared" si="41"/>
        <v>7.1086044158448866E-2</v>
      </c>
      <c r="AM54" s="71">
        <f t="shared" si="48"/>
        <v>0</v>
      </c>
      <c r="AN54" s="188">
        <f t="shared" si="42"/>
        <v>0.14467690739167374</v>
      </c>
      <c r="AO54" s="74">
        <f t="shared" si="24"/>
        <v>0.21576295155012259</v>
      </c>
      <c r="AP54" s="73">
        <f t="shared" si="43"/>
        <v>0.12965125099353453</v>
      </c>
      <c r="AQ54" s="206">
        <f t="shared" si="44"/>
        <v>0.19879858485675295</v>
      </c>
      <c r="AR54" s="206">
        <f t="shared" si="45"/>
        <v>3.0218089420955812</v>
      </c>
      <c r="AS54" s="71">
        <f t="shared" si="46"/>
        <v>0.12000000000000001</v>
      </c>
      <c r="AT54" s="74">
        <f t="shared" si="47"/>
        <v>3.6299999999999995E-5</v>
      </c>
      <c r="AU54" s="73">
        <f t="shared" si="26"/>
        <v>7.3380398197514261</v>
      </c>
      <c r="AV54" s="71">
        <f t="shared" si="27"/>
        <v>100.58000000000001</v>
      </c>
      <c r="AW54" s="74">
        <f t="shared" si="28"/>
        <v>93.200358501685457</v>
      </c>
    </row>
    <row r="55" spans="17:49" x14ac:dyDescent="0.25">
      <c r="Q55">
        <v>48</v>
      </c>
      <c r="R55" s="73">
        <f t="shared" si="0"/>
        <v>53.5</v>
      </c>
      <c r="S55" s="71">
        <f t="shared" si="32"/>
        <v>1.92</v>
      </c>
      <c r="T55" s="71">
        <f t="shared" si="2"/>
        <v>11</v>
      </c>
      <c r="U55" s="74">
        <f t="shared" si="33"/>
        <v>9.3381818181818179</v>
      </c>
      <c r="V55" s="73">
        <f>IF(Variable_Management!$B$20=3,2,IF((S55*R55/T55)&lt;((T55*(1-(T55/R55)))/(2*Lm*Fsw)),1,2))</f>
        <v>2</v>
      </c>
      <c r="W55" s="71">
        <f t="shared" si="34"/>
        <v>0.79439252336448596</v>
      </c>
      <c r="X55" s="74">
        <f t="shared" si="35"/>
        <v>0.20560747663551404</v>
      </c>
      <c r="Y55" s="73">
        <f t="shared" si="36"/>
        <v>5.8255451713395638</v>
      </c>
      <c r="Z55" s="71">
        <f t="shared" si="30"/>
        <v>12.250954403851599</v>
      </c>
      <c r="AA55" s="71">
        <f t="shared" si="31"/>
        <v>9.4883992879743051</v>
      </c>
      <c r="AB55" s="71">
        <v>0</v>
      </c>
      <c r="AC55" s="71">
        <f t="shared" si="37"/>
        <v>0.207068358410472</v>
      </c>
      <c r="AD55" s="74">
        <f t="shared" si="16"/>
        <v>0.207068358410472</v>
      </c>
      <c r="AE55" s="73">
        <f t="shared" si="29"/>
        <v>7.418181818181818</v>
      </c>
      <c r="AF55" s="71">
        <f t="shared" si="17"/>
        <v>8.4568869734167755</v>
      </c>
      <c r="AG55" s="71">
        <f t="shared" si="38"/>
        <v>0.28607574912458539</v>
      </c>
      <c r="AH55" s="71">
        <f t="shared" si="39"/>
        <v>3.2461609330121246</v>
      </c>
      <c r="AI55" s="74">
        <f t="shared" si="19"/>
        <v>3.5322366821367099</v>
      </c>
      <c r="AJ55" s="73">
        <f t="shared" si="20"/>
        <v>1.9200000000000002</v>
      </c>
      <c r="AK55" s="71">
        <f t="shared" si="40"/>
        <v>4.3024160383306658</v>
      </c>
      <c r="AL55" s="71">
        <f t="shared" si="41"/>
        <v>7.4043135067539761E-2</v>
      </c>
      <c r="AM55" s="71">
        <f t="shared" si="48"/>
        <v>0</v>
      </c>
      <c r="AN55" s="188">
        <f t="shared" si="42"/>
        <v>0.14701145284621919</v>
      </c>
      <c r="AO55" s="74">
        <f t="shared" si="24"/>
        <v>0.22105458791375895</v>
      </c>
      <c r="AP55" s="73">
        <f t="shared" si="43"/>
        <v>0.13504458157204696</v>
      </c>
      <c r="AQ55" s="206">
        <f t="shared" si="44"/>
        <v>0.207068358410472</v>
      </c>
      <c r="AR55" s="206">
        <f t="shared" si="45"/>
        <v>3.0218089420955812</v>
      </c>
      <c r="AS55" s="71">
        <f t="shared" si="46"/>
        <v>0.12000000000000001</v>
      </c>
      <c r="AT55" s="74">
        <f t="shared" si="47"/>
        <v>3.6299999999999995E-5</v>
      </c>
      <c r="AU55" s="73">
        <f t="shared" si="26"/>
        <v>7.4443178105390411</v>
      </c>
      <c r="AV55" s="71">
        <f t="shared" si="27"/>
        <v>102.72</v>
      </c>
      <c r="AW55" s="74">
        <f t="shared" si="28"/>
        <v>93.242532647148224</v>
      </c>
    </row>
    <row r="56" spans="17:49" x14ac:dyDescent="0.25">
      <c r="Q56">
        <v>49</v>
      </c>
      <c r="R56" s="73">
        <f t="shared" si="0"/>
        <v>53.5</v>
      </c>
      <c r="S56" s="71">
        <f t="shared" si="32"/>
        <v>1.96</v>
      </c>
      <c r="T56" s="71">
        <f t="shared" si="2"/>
        <v>11</v>
      </c>
      <c r="U56" s="74">
        <f t="shared" si="33"/>
        <v>9.5327272727272732</v>
      </c>
      <c r="V56" s="73">
        <f>IF(Variable_Management!$B$20=3,2,IF((S56*R56/T56)&lt;((T56*(1-(T56/R56)))/(2*Lm*Fsw)),1,2))</f>
        <v>2</v>
      </c>
      <c r="W56" s="71">
        <f t="shared" si="34"/>
        <v>0.79439252336448596</v>
      </c>
      <c r="X56" s="74">
        <f t="shared" si="35"/>
        <v>0.20560747663551404</v>
      </c>
      <c r="Y56" s="73">
        <f t="shared" si="36"/>
        <v>5.8255451713395638</v>
      </c>
      <c r="Z56" s="71">
        <f t="shared" si="30"/>
        <v>12.445499858397055</v>
      </c>
      <c r="AA56" s="71">
        <f t="shared" si="31"/>
        <v>9.6799261688717522</v>
      </c>
      <c r="AB56" s="71">
        <v>0</v>
      </c>
      <c r="AC56" s="71">
        <f t="shared" si="37"/>
        <v>0.21551223246005877</v>
      </c>
      <c r="AD56" s="74">
        <f t="shared" si="16"/>
        <v>0.21551223246005877</v>
      </c>
      <c r="AE56" s="73">
        <f t="shared" si="29"/>
        <v>7.5727272727272732</v>
      </c>
      <c r="AF56" s="71">
        <f t="shared" si="17"/>
        <v>8.6275923932628427</v>
      </c>
      <c r="AG56" s="71">
        <f t="shared" si="38"/>
        <v>0.29774140201714744</v>
      </c>
      <c r="AH56" s="71">
        <f t="shared" si="39"/>
        <v>3.3137892857832103</v>
      </c>
      <c r="AI56" s="74">
        <f t="shared" si="19"/>
        <v>3.6115306878003577</v>
      </c>
      <c r="AJ56" s="73">
        <f t="shared" si="20"/>
        <v>1.9600000000000004</v>
      </c>
      <c r="AK56" s="71">
        <f t="shared" si="40"/>
        <v>4.3892619118163028</v>
      </c>
      <c r="AL56" s="71">
        <f t="shared" si="41"/>
        <v>7.7062480522085225E-2</v>
      </c>
      <c r="AM56" s="71">
        <f t="shared" si="48"/>
        <v>0</v>
      </c>
      <c r="AN56" s="188">
        <f t="shared" si="42"/>
        <v>0.14934599830076467</v>
      </c>
      <c r="AO56" s="74">
        <f t="shared" si="24"/>
        <v>0.2264084788228499</v>
      </c>
      <c r="AP56" s="73">
        <f t="shared" si="43"/>
        <v>0.14055145595221225</v>
      </c>
      <c r="AQ56" s="206">
        <f t="shared" si="44"/>
        <v>0.21551223246005877</v>
      </c>
      <c r="AR56" s="206">
        <f t="shared" si="45"/>
        <v>3.0218089420955812</v>
      </c>
      <c r="AS56" s="71">
        <f t="shared" si="46"/>
        <v>0.12000000000000001</v>
      </c>
      <c r="AT56" s="74">
        <f t="shared" si="47"/>
        <v>3.6299999999999995E-5</v>
      </c>
      <c r="AU56" s="73">
        <f t="shared" si="26"/>
        <v>7.5513603295911187</v>
      </c>
      <c r="AV56" s="71">
        <f t="shared" si="27"/>
        <v>104.86</v>
      </c>
      <c r="AW56" s="74">
        <f t="shared" si="28"/>
        <v>93.282386844665467</v>
      </c>
    </row>
    <row r="57" spans="17:49" x14ac:dyDescent="0.25">
      <c r="Q57">
        <v>50</v>
      </c>
      <c r="R57" s="73">
        <f t="shared" si="0"/>
        <v>53.5</v>
      </c>
      <c r="S57" s="71">
        <f t="shared" si="32"/>
        <v>2</v>
      </c>
      <c r="T57" s="71">
        <f t="shared" si="2"/>
        <v>11</v>
      </c>
      <c r="U57" s="74">
        <f t="shared" si="33"/>
        <v>9.7272727272727266</v>
      </c>
      <c r="V57" s="73">
        <f>IF(Variable_Management!$B$20=3,2,IF((S57*R57/T57)&lt;((T57*(1-(T57/R57)))/(2*Lm*Fsw)),1,2))</f>
        <v>2</v>
      </c>
      <c r="W57" s="71">
        <f t="shared" si="34"/>
        <v>0.79439252336448596</v>
      </c>
      <c r="X57" s="74">
        <f t="shared" si="35"/>
        <v>0.20560747663551404</v>
      </c>
      <c r="Y57" s="73">
        <f t="shared" si="36"/>
        <v>5.8255451713395638</v>
      </c>
      <c r="Z57" s="71">
        <f t="shared" si="30"/>
        <v>12.640045312942508</v>
      </c>
      <c r="AA57" s="71">
        <f t="shared" si="31"/>
        <v>9.8715711054195214</v>
      </c>
      <c r="AB57" s="71">
        <v>0</v>
      </c>
      <c r="AC57" s="71">
        <f t="shared" si="37"/>
        <v>0.22413020700551328</v>
      </c>
      <c r="AD57" s="74">
        <f t="shared" si="16"/>
        <v>0.22413020700551328</v>
      </c>
      <c r="AE57" s="73">
        <f t="shared" si="29"/>
        <v>7.7272727272727266</v>
      </c>
      <c r="AF57" s="71">
        <f t="shared" si="17"/>
        <v>8.7984030345757791</v>
      </c>
      <c r="AG57" s="71">
        <f t="shared" si="38"/>
        <v>0.30964758383532909</v>
      </c>
      <c r="AH57" s="71">
        <f t="shared" si="39"/>
        <v>3.3814176385542964</v>
      </c>
      <c r="AI57" s="74">
        <f t="shared" si="19"/>
        <v>3.6910652223896254</v>
      </c>
      <c r="AJ57" s="73">
        <f t="shared" si="20"/>
        <v>2</v>
      </c>
      <c r="AK57" s="71">
        <f t="shared" si="40"/>
        <v>4.4761613164095531</v>
      </c>
      <c r="AL57" s="71">
        <f t="shared" si="41"/>
        <v>8.0144080522085215E-2</v>
      </c>
      <c r="AM57" s="71">
        <f t="shared" si="48"/>
        <v>0</v>
      </c>
      <c r="AN57" s="188">
        <f t="shared" si="42"/>
        <v>0.15168054375531009</v>
      </c>
      <c r="AO57" s="74">
        <f t="shared" si="24"/>
        <v>0.23182462427739531</v>
      </c>
      <c r="AP57" s="73">
        <f t="shared" si="43"/>
        <v>0.14617187413403041</v>
      </c>
      <c r="AQ57" s="206">
        <f t="shared" si="44"/>
        <v>0.22413020700551328</v>
      </c>
      <c r="AR57" s="206">
        <f t="shared" si="45"/>
        <v>3.0218089420955812</v>
      </c>
      <c r="AS57" s="71">
        <f t="shared" si="46"/>
        <v>0.12000000000000001</v>
      </c>
      <c r="AT57" s="74">
        <f t="shared" si="47"/>
        <v>3.6299999999999995E-5</v>
      </c>
      <c r="AU57" s="73">
        <f t="shared" si="26"/>
        <v>7.659167376907658</v>
      </c>
      <c r="AV57" s="71">
        <f t="shared" si="27"/>
        <v>107</v>
      </c>
      <c r="AW57" s="74">
        <f t="shared" si="28"/>
        <v>93.320056693129089</v>
      </c>
    </row>
    <row r="58" spans="17:49" x14ac:dyDescent="0.25">
      <c r="Q58">
        <v>51</v>
      </c>
      <c r="R58" s="73">
        <f t="shared" si="0"/>
        <v>53.5</v>
      </c>
      <c r="S58" s="71">
        <f t="shared" si="32"/>
        <v>2.04</v>
      </c>
      <c r="T58" s="71">
        <f t="shared" si="2"/>
        <v>11</v>
      </c>
      <c r="U58" s="74">
        <f t="shared" si="33"/>
        <v>9.9218181818181819</v>
      </c>
      <c r="V58" s="73">
        <f>IF(Variable_Management!$B$20=3,2,IF((S58*R58/T58)&lt;((T58*(1-(T58/R58)))/(2*Lm*Fsw)),1,2))</f>
        <v>2</v>
      </c>
      <c r="W58" s="71">
        <f t="shared" si="34"/>
        <v>0.79439252336448596</v>
      </c>
      <c r="X58" s="74">
        <f t="shared" si="35"/>
        <v>0.20560747663551404</v>
      </c>
      <c r="Y58" s="73">
        <f t="shared" si="36"/>
        <v>5.8255451713395638</v>
      </c>
      <c r="Z58" s="71">
        <f t="shared" si="30"/>
        <v>12.834590767487963</v>
      </c>
      <c r="AA58" s="71">
        <f t="shared" si="31"/>
        <v>10.063327352902103</v>
      </c>
      <c r="AB58" s="71">
        <v>0</v>
      </c>
      <c r="AC58" s="71">
        <f t="shared" si="37"/>
        <v>0.2329222820468356</v>
      </c>
      <c r="AD58" s="74">
        <f t="shared" si="16"/>
        <v>0.2329222820468356</v>
      </c>
      <c r="AE58" s="73">
        <f t="shared" si="29"/>
        <v>7.8818181818181818</v>
      </c>
      <c r="AF58" s="71">
        <f t="shared" si="17"/>
        <v>8.9693128858783098</v>
      </c>
      <c r="AG58" s="71">
        <f t="shared" si="38"/>
        <v>0.32179429457913078</v>
      </c>
      <c r="AH58" s="71">
        <f t="shared" si="39"/>
        <v>3.449045991325383</v>
      </c>
      <c r="AI58" s="74">
        <f t="shared" si="19"/>
        <v>3.770840285904514</v>
      </c>
      <c r="AJ58" s="73">
        <f t="shared" si="20"/>
        <v>2.04</v>
      </c>
      <c r="AK58" s="71">
        <f t="shared" si="40"/>
        <v>4.5631111937892701</v>
      </c>
      <c r="AL58" s="71">
        <f t="shared" si="41"/>
        <v>8.3287935067539745E-2</v>
      </c>
      <c r="AM58" s="71">
        <f t="shared" si="48"/>
        <v>0</v>
      </c>
      <c r="AN58" s="188">
        <f t="shared" si="42"/>
        <v>0.15401508920985557</v>
      </c>
      <c r="AO58" s="74">
        <f t="shared" si="24"/>
        <v>0.2373030242773953</v>
      </c>
      <c r="AP58" s="73">
        <f t="shared" si="43"/>
        <v>0.15190583611750147</v>
      </c>
      <c r="AQ58" s="206">
        <f t="shared" si="44"/>
        <v>0.2329222820468356</v>
      </c>
      <c r="AR58" s="206">
        <f t="shared" si="45"/>
        <v>3.0218089420955812</v>
      </c>
      <c r="AS58" s="71">
        <f t="shared" si="46"/>
        <v>0.12000000000000001</v>
      </c>
      <c r="AT58" s="74">
        <f t="shared" si="47"/>
        <v>3.6299999999999995E-5</v>
      </c>
      <c r="AU58" s="73">
        <f t="shared" si="26"/>
        <v>7.7677389524886635</v>
      </c>
      <c r="AV58" s="71">
        <f t="shared" si="27"/>
        <v>109.14</v>
      </c>
      <c r="AW58" s="74">
        <f t="shared" si="28"/>
        <v>93.355667450171552</v>
      </c>
    </row>
    <row r="59" spans="17:49" x14ac:dyDescent="0.25">
      <c r="Q59">
        <v>52</v>
      </c>
      <c r="R59" s="73">
        <f t="shared" si="0"/>
        <v>53.5</v>
      </c>
      <c r="S59" s="71">
        <f t="shared" si="32"/>
        <v>2.08</v>
      </c>
      <c r="T59" s="71">
        <f t="shared" si="2"/>
        <v>11</v>
      </c>
      <c r="U59" s="74">
        <f t="shared" si="33"/>
        <v>10.116363636363637</v>
      </c>
      <c r="V59" s="73">
        <f>IF(Variable_Management!$B$20=3,2,IF((S59*R59/T59)&lt;((T59*(1-(T59/R59)))/(2*Lm*Fsw)),1,2))</f>
        <v>2</v>
      </c>
      <c r="W59" s="71">
        <f t="shared" si="34"/>
        <v>0.79439252336448596</v>
      </c>
      <c r="X59" s="74">
        <f t="shared" si="35"/>
        <v>0.20560747663551404</v>
      </c>
      <c r="Y59" s="73">
        <f t="shared" si="36"/>
        <v>5.8255451713395638</v>
      </c>
      <c r="Z59" s="71">
        <f t="shared" si="30"/>
        <v>13.029136222033419</v>
      </c>
      <c r="AA59" s="71">
        <f t="shared" si="31"/>
        <v>10.255188667291808</v>
      </c>
      <c r="AB59" s="71">
        <v>0</v>
      </c>
      <c r="AC59" s="71">
        <f t="shared" si="37"/>
        <v>0.24188845758402575</v>
      </c>
      <c r="AD59" s="74">
        <f t="shared" si="16"/>
        <v>0.24188845758402575</v>
      </c>
      <c r="AE59" s="73">
        <f t="shared" si="29"/>
        <v>8.036363636363637</v>
      </c>
      <c r="AF59" s="71">
        <f t="shared" si="17"/>
        <v>9.1403163819497024</v>
      </c>
      <c r="AG59" s="71">
        <f t="shared" si="38"/>
        <v>0.3341815342485524</v>
      </c>
      <c r="AH59" s="71">
        <f t="shared" si="39"/>
        <v>3.5166743440964692</v>
      </c>
      <c r="AI59" s="74">
        <f t="shared" si="19"/>
        <v>3.8508558783450217</v>
      </c>
      <c r="AJ59" s="73">
        <f t="shared" si="20"/>
        <v>2.0800000000000005</v>
      </c>
      <c r="AK59" s="71">
        <f t="shared" si="40"/>
        <v>4.6501087126659968</v>
      </c>
      <c r="AL59" s="71">
        <f t="shared" si="41"/>
        <v>8.6494044158448857E-2</v>
      </c>
      <c r="AM59" s="71">
        <f t="shared" si="48"/>
        <v>0</v>
      </c>
      <c r="AN59" s="188">
        <f t="shared" si="42"/>
        <v>0.15634963466440102</v>
      </c>
      <c r="AO59" s="74">
        <f t="shared" si="24"/>
        <v>0.24284367882284988</v>
      </c>
      <c r="AP59" s="73">
        <f t="shared" si="43"/>
        <v>0.15775334190262549</v>
      </c>
      <c r="AQ59" s="206">
        <f t="shared" si="44"/>
        <v>0.24188845758402575</v>
      </c>
      <c r="AR59" s="206">
        <f t="shared" si="45"/>
        <v>3.0218089420955812</v>
      </c>
      <c r="AS59" s="71">
        <f t="shared" si="46"/>
        <v>0.12000000000000001</v>
      </c>
      <c r="AT59" s="74">
        <f t="shared" si="47"/>
        <v>3.6299999999999995E-5</v>
      </c>
      <c r="AU59" s="73">
        <f t="shared" si="26"/>
        <v>7.8770750563341299</v>
      </c>
      <c r="AV59" s="71">
        <f t="shared" si="27"/>
        <v>111.28</v>
      </c>
      <c r="AW59" s="74">
        <f t="shared" si="28"/>
        <v>93.389334999528913</v>
      </c>
    </row>
    <row r="60" spans="17:49" x14ac:dyDescent="0.25">
      <c r="Q60">
        <v>53</v>
      </c>
      <c r="R60" s="73">
        <f t="shared" si="0"/>
        <v>53.5</v>
      </c>
      <c r="S60" s="71">
        <f t="shared" si="32"/>
        <v>2.12</v>
      </c>
      <c r="T60" s="71">
        <f t="shared" si="2"/>
        <v>11</v>
      </c>
      <c r="U60" s="74">
        <f t="shared" si="33"/>
        <v>10.310909090909091</v>
      </c>
      <c r="V60" s="73">
        <f>IF(Variable_Management!$B$20=3,2,IF((S60*R60/T60)&lt;((T60*(1-(T60/R60)))/(2*Lm*Fsw)),1,2))</f>
        <v>2</v>
      </c>
      <c r="W60" s="71">
        <f t="shared" si="34"/>
        <v>0.79439252336448596</v>
      </c>
      <c r="X60" s="74">
        <f t="shared" si="35"/>
        <v>0.20560747663551404</v>
      </c>
      <c r="Y60" s="73">
        <f t="shared" si="36"/>
        <v>5.8255451713395638</v>
      </c>
      <c r="Z60" s="71">
        <f t="shared" si="30"/>
        <v>13.223681676578872</v>
      </c>
      <c r="AA60" s="71">
        <f t="shared" si="31"/>
        <v>10.44714925994654</v>
      </c>
      <c r="AB60" s="71">
        <v>0</v>
      </c>
      <c r="AC60" s="71">
        <f t="shared" si="37"/>
        <v>0.25102873361708355</v>
      </c>
      <c r="AD60" s="74">
        <f t="shared" si="16"/>
        <v>0.25102873361708355</v>
      </c>
      <c r="AE60" s="73">
        <f t="shared" si="29"/>
        <v>8.1909090909090896</v>
      </c>
      <c r="AF60" s="71">
        <f t="shared" si="17"/>
        <v>9.3114083634484857</v>
      </c>
      <c r="AG60" s="71">
        <f t="shared" si="38"/>
        <v>0.34680930284359363</v>
      </c>
      <c r="AH60" s="71">
        <f t="shared" si="39"/>
        <v>3.5843026968675544</v>
      </c>
      <c r="AI60" s="74">
        <f t="shared" si="19"/>
        <v>3.9311119997111481</v>
      </c>
      <c r="AJ60" s="73">
        <f t="shared" si="20"/>
        <v>2.12</v>
      </c>
      <c r="AK60" s="71">
        <f t="shared" si="40"/>
        <v>4.7371512482401403</v>
      </c>
      <c r="AL60" s="71">
        <f t="shared" si="41"/>
        <v>8.9762407794812482E-2</v>
      </c>
      <c r="AM60" s="71">
        <f t="shared" si="48"/>
        <v>0</v>
      </c>
      <c r="AN60" s="188">
        <f t="shared" si="42"/>
        <v>0.15868418011894647</v>
      </c>
      <c r="AO60" s="74">
        <f t="shared" si="24"/>
        <v>0.24844658791375895</v>
      </c>
      <c r="AP60" s="73">
        <f t="shared" si="43"/>
        <v>0.16371439148940231</v>
      </c>
      <c r="AQ60" s="206">
        <f t="shared" si="44"/>
        <v>0.25102873361708355</v>
      </c>
      <c r="AR60" s="206">
        <f t="shared" si="45"/>
        <v>3.0218089420955812</v>
      </c>
      <c r="AS60" s="71">
        <f t="shared" si="46"/>
        <v>0.12000000000000001</v>
      </c>
      <c r="AT60" s="74">
        <f t="shared" si="47"/>
        <v>3.6299999999999995E-5</v>
      </c>
      <c r="AU60" s="73">
        <f t="shared" si="26"/>
        <v>7.987175688444057</v>
      </c>
      <c r="AV60" s="71">
        <f t="shared" si="27"/>
        <v>113.42</v>
      </c>
      <c r="AW60" s="74">
        <f t="shared" si="28"/>
        <v>93.421166711808866</v>
      </c>
    </row>
    <row r="61" spans="17:49" x14ac:dyDescent="0.25">
      <c r="Q61">
        <v>54</v>
      </c>
      <c r="R61" s="73">
        <f t="shared" si="0"/>
        <v>53.5</v>
      </c>
      <c r="S61" s="71">
        <f t="shared" si="32"/>
        <v>2.16</v>
      </c>
      <c r="T61" s="71">
        <f t="shared" si="2"/>
        <v>11</v>
      </c>
      <c r="U61" s="74">
        <f t="shared" si="33"/>
        <v>10.505454545454546</v>
      </c>
      <c r="V61" s="73">
        <f>IF(Variable_Management!$B$20=3,2,IF((S61*R61/T61)&lt;((T61*(1-(T61/R61)))/(2*Lm*Fsw)),1,2))</f>
        <v>2</v>
      </c>
      <c r="W61" s="71">
        <f t="shared" si="34"/>
        <v>0.79439252336448596</v>
      </c>
      <c r="X61" s="74">
        <f t="shared" si="35"/>
        <v>0.20560747663551404</v>
      </c>
      <c r="Y61" s="73">
        <f t="shared" si="36"/>
        <v>5.8255451713395638</v>
      </c>
      <c r="Z61" s="71">
        <f t="shared" si="30"/>
        <v>13.418227131124327</v>
      </c>
      <c r="AA61" s="71">
        <f t="shared" si="31"/>
        <v>10.63920375710614</v>
      </c>
      <c r="AB61" s="71">
        <v>0</v>
      </c>
      <c r="AC61" s="71">
        <f t="shared" si="37"/>
        <v>0.26034311014600919</v>
      </c>
      <c r="AD61" s="74">
        <f t="shared" si="16"/>
        <v>0.26034311014600919</v>
      </c>
      <c r="AE61" s="73">
        <f t="shared" si="29"/>
        <v>8.3454545454545457</v>
      </c>
      <c r="AF61" s="71">
        <f t="shared" si="17"/>
        <v>9.4825840408120676</v>
      </c>
      <c r="AG61" s="71">
        <f t="shared" si="38"/>
        <v>0.35967760036425489</v>
      </c>
      <c r="AH61" s="71">
        <f t="shared" si="39"/>
        <v>3.6519310496386406</v>
      </c>
      <c r="AI61" s="74">
        <f t="shared" si="19"/>
        <v>4.0116086500028958</v>
      </c>
      <c r="AJ61" s="73">
        <f t="shared" si="20"/>
        <v>2.16</v>
      </c>
      <c r="AK61" s="71">
        <f t="shared" si="40"/>
        <v>4.8242363638360075</v>
      </c>
      <c r="AL61" s="71">
        <f t="shared" si="41"/>
        <v>9.3093025976630661E-2</v>
      </c>
      <c r="AM61" s="71">
        <f t="shared" si="48"/>
        <v>0</v>
      </c>
      <c r="AN61" s="188">
        <f t="shared" si="42"/>
        <v>0.16101872557349192</v>
      </c>
      <c r="AO61" s="74">
        <f t="shared" si="24"/>
        <v>0.25411175155012256</v>
      </c>
      <c r="AP61" s="73">
        <f t="shared" si="43"/>
        <v>0.16978898487783212</v>
      </c>
      <c r="AQ61" s="206">
        <f t="shared" si="44"/>
        <v>0.26034311014600919</v>
      </c>
      <c r="AR61" s="206">
        <f t="shared" si="45"/>
        <v>3.0218089420955812</v>
      </c>
      <c r="AS61" s="71">
        <f t="shared" si="46"/>
        <v>0.12000000000000001</v>
      </c>
      <c r="AT61" s="74">
        <f t="shared" si="47"/>
        <v>3.6299999999999995E-5</v>
      </c>
      <c r="AU61" s="73">
        <f t="shared" si="26"/>
        <v>8.0980408488184494</v>
      </c>
      <c r="AV61" s="71">
        <f t="shared" si="27"/>
        <v>115.56</v>
      </c>
      <c r="AW61" s="74">
        <f t="shared" si="28"/>
        <v>93.451262212120184</v>
      </c>
    </row>
    <row r="62" spans="17:49" x14ac:dyDescent="0.25">
      <c r="Q62">
        <v>55</v>
      </c>
      <c r="R62" s="73">
        <f t="shared" si="0"/>
        <v>53.5</v>
      </c>
      <c r="S62" s="71">
        <f t="shared" si="32"/>
        <v>2.2000000000000002</v>
      </c>
      <c r="T62" s="71">
        <f t="shared" si="2"/>
        <v>11</v>
      </c>
      <c r="U62" s="74">
        <f t="shared" si="33"/>
        <v>10.700000000000001</v>
      </c>
      <c r="V62" s="73">
        <f>IF(Variable_Management!$B$20=3,2,IF((S62*R62/T62)&lt;((T62*(1-(T62/R62)))/(2*Lm*Fsw)),1,2))</f>
        <v>2</v>
      </c>
      <c r="W62" s="71">
        <f t="shared" si="34"/>
        <v>0.79439252336448596</v>
      </c>
      <c r="X62" s="74">
        <f t="shared" si="35"/>
        <v>0.20560747663551404</v>
      </c>
      <c r="Y62" s="73">
        <f t="shared" si="36"/>
        <v>5.8255451713395638</v>
      </c>
      <c r="Z62" s="71">
        <f t="shared" si="30"/>
        <v>13.612772585669783</v>
      </c>
      <c r="AA62" s="71">
        <f t="shared" si="31"/>
        <v>10.831347163608497</v>
      </c>
      <c r="AB62" s="71">
        <v>0</v>
      </c>
      <c r="AC62" s="71">
        <f t="shared" si="37"/>
        <v>0.26983158717080258</v>
      </c>
      <c r="AD62" s="74">
        <f t="shared" si="16"/>
        <v>0.26983158717080258</v>
      </c>
      <c r="AE62" s="73">
        <f t="shared" si="29"/>
        <v>8.5</v>
      </c>
      <c r="AF62" s="71">
        <f t="shared" si="17"/>
        <v>9.6538389619173763</v>
      </c>
      <c r="AG62" s="71">
        <f t="shared" si="38"/>
        <v>0.37278642681053592</v>
      </c>
      <c r="AH62" s="71">
        <f t="shared" si="39"/>
        <v>3.7195594024097263</v>
      </c>
      <c r="AI62" s="74">
        <f t="shared" si="19"/>
        <v>4.0923458292202621</v>
      </c>
      <c r="AJ62" s="73">
        <f t="shared" si="20"/>
        <v>2.2000000000000006</v>
      </c>
      <c r="AK62" s="71">
        <f t="shared" si="40"/>
        <v>4.9113617944492596</v>
      </c>
      <c r="AL62" s="71">
        <f t="shared" si="41"/>
        <v>9.6485898703903408E-2</v>
      </c>
      <c r="AM62" s="71">
        <f t="shared" si="48"/>
        <v>0</v>
      </c>
      <c r="AN62" s="188">
        <f t="shared" si="42"/>
        <v>0.1633532710280374</v>
      </c>
      <c r="AO62" s="74">
        <f t="shared" si="24"/>
        <v>0.25983916973194082</v>
      </c>
      <c r="AP62" s="73">
        <f t="shared" si="43"/>
        <v>0.17597712206791474</v>
      </c>
      <c r="AQ62" s="206">
        <f t="shared" si="44"/>
        <v>0.26983158717080258</v>
      </c>
      <c r="AR62" s="206">
        <f t="shared" si="45"/>
        <v>3.0218089420955812</v>
      </c>
      <c r="AS62" s="71">
        <f t="shared" si="46"/>
        <v>0.12000000000000001</v>
      </c>
      <c r="AT62" s="74">
        <f t="shared" si="47"/>
        <v>3.6299999999999995E-5</v>
      </c>
      <c r="AU62" s="73">
        <f t="shared" si="26"/>
        <v>8.2096705374573027</v>
      </c>
      <c r="AV62" s="71">
        <f t="shared" si="27"/>
        <v>117.7</v>
      </c>
      <c r="AW62" s="74">
        <f t="shared" si="28"/>
        <v>93.47971406611299</v>
      </c>
    </row>
    <row r="63" spans="17:49" x14ac:dyDescent="0.25">
      <c r="Q63">
        <v>56</v>
      </c>
      <c r="R63" s="73">
        <f t="shared" si="0"/>
        <v>53.5</v>
      </c>
      <c r="S63" s="71">
        <f t="shared" si="32"/>
        <v>2.2400000000000002</v>
      </c>
      <c r="T63" s="71">
        <f t="shared" si="2"/>
        <v>11</v>
      </c>
      <c r="U63" s="74">
        <f t="shared" si="33"/>
        <v>10.894545454545456</v>
      </c>
      <c r="V63" s="73">
        <f>IF(Variable_Management!$B$20=3,2,IF((S63*R63/T63)&lt;((T63*(1-(T63/R63)))/(2*Lm*Fsw)),1,2))</f>
        <v>2</v>
      </c>
      <c r="W63" s="71">
        <f t="shared" si="34"/>
        <v>0.79439252336448596</v>
      </c>
      <c r="X63" s="74">
        <f t="shared" si="35"/>
        <v>0.20560747663551404</v>
      </c>
      <c r="Y63" s="73">
        <f t="shared" si="36"/>
        <v>5.8255451713395638</v>
      </c>
      <c r="Z63" s="71">
        <f t="shared" si="30"/>
        <v>13.807318040215238</v>
      </c>
      <c r="AA63" s="71">
        <f t="shared" si="31"/>
        <v>11.023574830324637</v>
      </c>
      <c r="AB63" s="71">
        <v>0</v>
      </c>
      <c r="AC63" s="71">
        <f t="shared" si="37"/>
        <v>0.27949416469146376</v>
      </c>
      <c r="AD63" s="74">
        <f t="shared" si="16"/>
        <v>0.27949416469146376</v>
      </c>
      <c r="AE63" s="73">
        <f t="shared" si="29"/>
        <v>8.6545454545454561</v>
      </c>
      <c r="AF63" s="71">
        <f t="shared" si="17"/>
        <v>9.8251689830561784</v>
      </c>
      <c r="AG63" s="71">
        <f t="shared" si="38"/>
        <v>0.38613578218243672</v>
      </c>
      <c r="AH63" s="71">
        <f t="shared" si="39"/>
        <v>3.7871877551808133</v>
      </c>
      <c r="AI63" s="74">
        <f t="shared" si="19"/>
        <v>4.1733235373632498</v>
      </c>
      <c r="AJ63" s="73">
        <f t="shared" si="20"/>
        <v>2.2400000000000007</v>
      </c>
      <c r="AK63" s="71">
        <f t="shared" si="40"/>
        <v>4.9985254319806831</v>
      </c>
      <c r="AL63" s="71">
        <f t="shared" si="41"/>
        <v>9.9941025976630696E-2</v>
      </c>
      <c r="AM63" s="71">
        <f t="shared" si="48"/>
        <v>0</v>
      </c>
      <c r="AN63" s="188">
        <f t="shared" si="42"/>
        <v>0.16568781648258285</v>
      </c>
      <c r="AO63" s="74">
        <f t="shared" si="24"/>
        <v>0.26562884245921353</v>
      </c>
      <c r="AP63" s="73">
        <f t="shared" si="43"/>
        <v>0.18227880305965027</v>
      </c>
      <c r="AQ63" s="206">
        <f t="shared" si="44"/>
        <v>0.27949416469146376</v>
      </c>
      <c r="AR63" s="206">
        <f t="shared" si="45"/>
        <v>3.0218089420955812</v>
      </c>
      <c r="AS63" s="71">
        <f t="shared" si="46"/>
        <v>0.12000000000000001</v>
      </c>
      <c r="AT63" s="74">
        <f t="shared" si="47"/>
        <v>3.6299999999999995E-5</v>
      </c>
      <c r="AU63" s="73">
        <f t="shared" si="26"/>
        <v>8.3220647543606212</v>
      </c>
      <c r="AV63" s="71">
        <f t="shared" si="27"/>
        <v>119.84000000000002</v>
      </c>
      <c r="AW63" s="74">
        <f t="shared" si="28"/>
        <v>93.506608394370872</v>
      </c>
    </row>
    <row r="64" spans="17:49" x14ac:dyDescent="0.25">
      <c r="Q64">
        <v>57</v>
      </c>
      <c r="R64" s="73">
        <f t="shared" si="0"/>
        <v>53.5</v>
      </c>
      <c r="S64" s="71">
        <f t="shared" si="32"/>
        <v>2.2800000000000002</v>
      </c>
      <c r="T64" s="71">
        <f t="shared" si="2"/>
        <v>11</v>
      </c>
      <c r="U64" s="74">
        <f t="shared" si="33"/>
        <v>11.089090909090912</v>
      </c>
      <c r="V64" s="73">
        <f>IF(Variable_Management!$B$20=3,2,IF((S64*R64/T64)&lt;((T64*(1-(T64/R64)))/(2*Lm*Fsw)),1,2))</f>
        <v>2</v>
      </c>
      <c r="W64" s="71">
        <f t="shared" si="34"/>
        <v>0.79439252336448596</v>
      </c>
      <c r="X64" s="74">
        <f t="shared" si="35"/>
        <v>0.20560747663551404</v>
      </c>
      <c r="Y64" s="73">
        <f t="shared" si="36"/>
        <v>5.8255451713395638</v>
      </c>
      <c r="Z64" s="71">
        <f t="shared" si="30"/>
        <v>14.001863494760693</v>
      </c>
      <c r="AA64" s="71">
        <f t="shared" si="31"/>
        <v>11.215882424878236</v>
      </c>
      <c r="AB64" s="71">
        <v>0</v>
      </c>
      <c r="AC64" s="71">
        <f t="shared" si="37"/>
        <v>0.28933084270799275</v>
      </c>
      <c r="AD64" s="74">
        <f t="shared" si="16"/>
        <v>0.28933084270799275</v>
      </c>
      <c r="AE64" s="73">
        <f t="shared" si="29"/>
        <v>8.8090909090909104</v>
      </c>
      <c r="AF64" s="71">
        <f t="shared" si="17"/>
        <v>9.996570242837759</v>
      </c>
      <c r="AG64" s="71">
        <f t="shared" si="38"/>
        <v>0.3997256664799575</v>
      </c>
      <c r="AH64" s="71">
        <f t="shared" si="39"/>
        <v>3.854816107951899</v>
      </c>
      <c r="AI64" s="74">
        <f t="shared" si="19"/>
        <v>4.2545417744318561</v>
      </c>
      <c r="AJ64" s="73">
        <f t="shared" si="20"/>
        <v>2.2800000000000007</v>
      </c>
      <c r="AK64" s="71">
        <f t="shared" si="40"/>
        <v>5.085725311959262</v>
      </c>
      <c r="AL64" s="71">
        <f t="shared" si="41"/>
        <v>0.10345840779481254</v>
      </c>
      <c r="AM64" s="71">
        <f t="shared" si="48"/>
        <v>0</v>
      </c>
      <c r="AN64" s="188">
        <f t="shared" si="42"/>
        <v>0.16802236193712833</v>
      </c>
      <c r="AO64" s="74">
        <f t="shared" si="24"/>
        <v>0.27148076973194085</v>
      </c>
      <c r="AP64" s="73">
        <f t="shared" si="43"/>
        <v>0.18869402785303876</v>
      </c>
      <c r="AQ64" s="206">
        <f t="shared" si="44"/>
        <v>0.28933084270799275</v>
      </c>
      <c r="AR64" s="206">
        <f t="shared" si="45"/>
        <v>3.0218089420955812</v>
      </c>
      <c r="AS64" s="71">
        <f t="shared" si="46"/>
        <v>0.12000000000000001</v>
      </c>
      <c r="AT64" s="74">
        <f t="shared" si="47"/>
        <v>3.6299999999999995E-5</v>
      </c>
      <c r="AU64" s="73">
        <f t="shared" si="26"/>
        <v>8.4352234995284014</v>
      </c>
      <c r="AV64" s="71">
        <f t="shared" si="27"/>
        <v>121.98000000000002</v>
      </c>
      <c r="AW64" s="74">
        <f t="shared" si="28"/>
        <v>93.532025423735206</v>
      </c>
    </row>
    <row r="65" spans="17:49" x14ac:dyDescent="0.25">
      <c r="Q65">
        <v>58</v>
      </c>
      <c r="R65" s="73">
        <f t="shared" si="0"/>
        <v>53.5</v>
      </c>
      <c r="S65" s="71">
        <f t="shared" si="32"/>
        <v>2.3199999999999998</v>
      </c>
      <c r="T65" s="71">
        <f t="shared" si="2"/>
        <v>11</v>
      </c>
      <c r="U65" s="74">
        <f t="shared" si="33"/>
        <v>11.283636363636363</v>
      </c>
      <c r="V65" s="73">
        <f>IF(Variable_Management!$B$20=3,2,IF((S65*R65/T65)&lt;((T65*(1-(T65/R65)))/(2*Lm*Fsw)),1,2))</f>
        <v>2</v>
      </c>
      <c r="W65" s="71">
        <f t="shared" si="34"/>
        <v>0.79439252336448596</v>
      </c>
      <c r="X65" s="74">
        <f t="shared" si="35"/>
        <v>0.20560747663551404</v>
      </c>
      <c r="Y65" s="73">
        <f t="shared" si="36"/>
        <v>5.8255451713395638</v>
      </c>
      <c r="Z65" s="71">
        <f t="shared" si="30"/>
        <v>14.196408949306145</v>
      </c>
      <c r="AA65" s="71">
        <f t="shared" si="31"/>
        <v>11.408265905271785</v>
      </c>
      <c r="AB65" s="71">
        <v>0</v>
      </c>
      <c r="AC65" s="71">
        <f t="shared" si="37"/>
        <v>0.29934162122038926</v>
      </c>
      <c r="AD65" s="74">
        <f t="shared" si="16"/>
        <v>0.29934162122038926</v>
      </c>
      <c r="AE65" s="73">
        <f t="shared" si="29"/>
        <v>8.963636363636363</v>
      </c>
      <c r="AF65" s="71">
        <f t="shared" si="17"/>
        <v>10.168039138682268</v>
      </c>
      <c r="AG65" s="71">
        <f t="shared" si="38"/>
        <v>0.41355607970309777</v>
      </c>
      <c r="AH65" s="71">
        <f t="shared" si="39"/>
        <v>3.9224444607229838</v>
      </c>
      <c r="AI65" s="74">
        <f t="shared" si="19"/>
        <v>4.336000540426082</v>
      </c>
      <c r="AJ65" s="73">
        <f t="shared" si="20"/>
        <v>2.3200000000000003</v>
      </c>
      <c r="AK65" s="71">
        <f t="shared" si="40"/>
        <v>5.172959601583238</v>
      </c>
      <c r="AL65" s="71">
        <f t="shared" si="41"/>
        <v>0.10703804415844886</v>
      </c>
      <c r="AM65" s="71">
        <f t="shared" si="48"/>
        <v>0</v>
      </c>
      <c r="AN65" s="188">
        <f t="shared" si="42"/>
        <v>0.17035690739167375</v>
      </c>
      <c r="AO65" s="74">
        <f t="shared" si="24"/>
        <v>0.27739495155012261</v>
      </c>
      <c r="AP65" s="73">
        <f t="shared" si="43"/>
        <v>0.19522279644807997</v>
      </c>
      <c r="AQ65" s="206">
        <f t="shared" si="44"/>
        <v>0.29934162122038926</v>
      </c>
      <c r="AR65" s="206">
        <f t="shared" si="45"/>
        <v>3.0218089420955812</v>
      </c>
      <c r="AS65" s="71">
        <f t="shared" si="46"/>
        <v>0.12000000000000001</v>
      </c>
      <c r="AT65" s="74">
        <f t="shared" si="47"/>
        <v>3.6299999999999995E-5</v>
      </c>
      <c r="AU65" s="73">
        <f t="shared" si="26"/>
        <v>8.5491467729606434</v>
      </c>
      <c r="AV65" s="71">
        <f t="shared" si="27"/>
        <v>124.11999999999999</v>
      </c>
      <c r="AW65" s="74">
        <f t="shared" si="28"/>
        <v>93.556039982987926</v>
      </c>
    </row>
    <row r="66" spans="17:49" x14ac:dyDescent="0.25">
      <c r="Q66">
        <v>59</v>
      </c>
      <c r="R66" s="73">
        <f t="shared" si="0"/>
        <v>53.5</v>
      </c>
      <c r="S66" s="71">
        <f t="shared" si="32"/>
        <v>2.36</v>
      </c>
      <c r="T66" s="71">
        <f t="shared" si="2"/>
        <v>11</v>
      </c>
      <c r="U66" s="74">
        <f t="shared" si="33"/>
        <v>11.478181818181817</v>
      </c>
      <c r="V66" s="73">
        <f>IF(Variable_Management!$B$20=3,2,IF((S66*R66/T66)&lt;((T66*(1-(T66/R66)))/(2*Lm*Fsw)),1,2))</f>
        <v>2</v>
      </c>
      <c r="W66" s="71">
        <f t="shared" si="34"/>
        <v>0.79439252336448596</v>
      </c>
      <c r="X66" s="74">
        <f t="shared" si="35"/>
        <v>0.20560747663551404</v>
      </c>
      <c r="Y66" s="73">
        <f t="shared" si="36"/>
        <v>5.8255451713395638</v>
      </c>
      <c r="Z66" s="71">
        <f t="shared" si="30"/>
        <v>14.390954403851598</v>
      </c>
      <c r="AA66" s="71">
        <f t="shared" si="31"/>
        <v>11.600721496090209</v>
      </c>
      <c r="AB66" s="71">
        <v>0</v>
      </c>
      <c r="AC66" s="71">
        <f t="shared" si="37"/>
        <v>0.30952650022865374</v>
      </c>
      <c r="AD66" s="74">
        <f t="shared" si="16"/>
        <v>0.30952650022865374</v>
      </c>
      <c r="AE66" s="73">
        <f t="shared" si="29"/>
        <v>9.1181818181818173</v>
      </c>
      <c r="AF66" s="71">
        <f t="shared" si="17"/>
        <v>10.339572305611314</v>
      </c>
      <c r="AG66" s="71">
        <f t="shared" si="38"/>
        <v>0.42762702185185786</v>
      </c>
      <c r="AH66" s="71">
        <f t="shared" si="39"/>
        <v>3.9900728134940699</v>
      </c>
      <c r="AI66" s="74">
        <f t="shared" si="19"/>
        <v>4.4176998353459282</v>
      </c>
      <c r="AJ66" s="73">
        <f t="shared" si="20"/>
        <v>2.36</v>
      </c>
      <c r="AK66" s="71">
        <f t="shared" si="40"/>
        <v>5.2602265889298847</v>
      </c>
      <c r="AL66" s="71">
        <f t="shared" si="41"/>
        <v>0.11067993506753972</v>
      </c>
      <c r="AM66" s="71">
        <f t="shared" si="48"/>
        <v>0</v>
      </c>
      <c r="AN66" s="188">
        <f t="shared" si="42"/>
        <v>0.17269145284621917</v>
      </c>
      <c r="AO66" s="74">
        <f t="shared" si="24"/>
        <v>0.28337138791375888</v>
      </c>
      <c r="AP66" s="73">
        <f t="shared" si="43"/>
        <v>0.20186510884477421</v>
      </c>
      <c r="AQ66" s="206">
        <f t="shared" si="44"/>
        <v>0.30952650022865374</v>
      </c>
      <c r="AR66" s="206">
        <f t="shared" si="45"/>
        <v>3.0218089420955812</v>
      </c>
      <c r="AS66" s="71">
        <f t="shared" si="46"/>
        <v>0.12000000000000001</v>
      </c>
      <c r="AT66" s="74">
        <f t="shared" si="47"/>
        <v>3.6299999999999995E-5</v>
      </c>
      <c r="AU66" s="73">
        <f t="shared" si="26"/>
        <v>8.6638345746573506</v>
      </c>
      <c r="AV66" s="71">
        <f t="shared" si="27"/>
        <v>126.25999999999999</v>
      </c>
      <c r="AW66" s="74">
        <f t="shared" si="28"/>
        <v>93.578721949335502</v>
      </c>
    </row>
    <row r="67" spans="17:49" x14ac:dyDescent="0.25">
      <c r="Q67">
        <v>60</v>
      </c>
      <c r="R67" s="73">
        <f t="shared" si="0"/>
        <v>53.5</v>
      </c>
      <c r="S67" s="71">
        <f t="shared" si="32"/>
        <v>2.4</v>
      </c>
      <c r="T67" s="71">
        <f t="shared" si="2"/>
        <v>11</v>
      </c>
      <c r="U67" s="74">
        <f t="shared" si="33"/>
        <v>11.672727272727274</v>
      </c>
      <c r="V67" s="73">
        <f>IF(Variable_Management!$B$20=3,2,IF((S67*R67/T67)&lt;((T67*(1-(T67/R67)))/(2*Lm*Fsw)),1,2))</f>
        <v>2</v>
      </c>
      <c r="W67" s="71">
        <f t="shared" si="34"/>
        <v>0.79439252336448596</v>
      </c>
      <c r="X67" s="74">
        <f t="shared" si="35"/>
        <v>0.20560747663551404</v>
      </c>
      <c r="Y67" s="73">
        <f t="shared" si="36"/>
        <v>5.8255451713395638</v>
      </c>
      <c r="Z67" s="71">
        <f t="shared" si="30"/>
        <v>14.585499858397055</v>
      </c>
      <c r="AA67" s="71">
        <f t="shared" si="31"/>
        <v>11.793245666994345</v>
      </c>
      <c r="AB67" s="71">
        <v>0</v>
      </c>
      <c r="AC67" s="71">
        <f t="shared" si="37"/>
        <v>0.31988547973278603</v>
      </c>
      <c r="AD67" s="74">
        <f t="shared" si="16"/>
        <v>0.31988547973278603</v>
      </c>
      <c r="AE67" s="73">
        <f t="shared" si="29"/>
        <v>9.2727272727272734</v>
      </c>
      <c r="AF67" s="71">
        <f t="shared" si="17"/>
        <v>10.511166597079489</v>
      </c>
      <c r="AG67" s="71">
        <f t="shared" si="38"/>
        <v>0.44193849292623844</v>
      </c>
      <c r="AH67" s="71">
        <f t="shared" si="39"/>
        <v>4.0577011662651561</v>
      </c>
      <c r="AI67" s="74">
        <f t="shared" si="19"/>
        <v>4.499639659191395</v>
      </c>
      <c r="AJ67" s="73">
        <f t="shared" si="20"/>
        <v>2.4000000000000004</v>
      </c>
      <c r="AK67" s="71">
        <f t="shared" si="40"/>
        <v>5.3475246732036039</v>
      </c>
      <c r="AL67" s="71">
        <f t="shared" si="41"/>
        <v>0.11438408052208525</v>
      </c>
      <c r="AM67" s="71">
        <f t="shared" si="48"/>
        <v>0</v>
      </c>
      <c r="AN67" s="188">
        <f t="shared" si="42"/>
        <v>0.17502599830076468</v>
      </c>
      <c r="AO67" s="74">
        <f t="shared" si="24"/>
        <v>0.28941007882284991</v>
      </c>
      <c r="AP67" s="73">
        <f t="shared" si="43"/>
        <v>0.20862096504312133</v>
      </c>
      <c r="AQ67" s="206">
        <f t="shared" si="44"/>
        <v>0.31988547973278603</v>
      </c>
      <c r="AR67" s="206">
        <f t="shared" si="45"/>
        <v>3.0218089420955812</v>
      </c>
      <c r="AS67" s="71">
        <f t="shared" si="46"/>
        <v>0.12000000000000001</v>
      </c>
      <c r="AT67" s="74">
        <f t="shared" si="47"/>
        <v>3.6299999999999995E-5</v>
      </c>
      <c r="AU67" s="73">
        <f t="shared" si="26"/>
        <v>8.7792869046185196</v>
      </c>
      <c r="AV67" s="71">
        <f t="shared" si="27"/>
        <v>128.4</v>
      </c>
      <c r="AW67" s="74">
        <f t="shared" si="28"/>
        <v>93.600136651298669</v>
      </c>
    </row>
    <row r="68" spans="17:49" x14ac:dyDescent="0.25">
      <c r="Q68">
        <v>61</v>
      </c>
      <c r="R68" s="73">
        <f t="shared" si="0"/>
        <v>53.5</v>
      </c>
      <c r="S68" s="71">
        <f t="shared" si="32"/>
        <v>2.44</v>
      </c>
      <c r="T68" s="71">
        <f t="shared" si="2"/>
        <v>11</v>
      </c>
      <c r="U68" s="74">
        <f t="shared" si="33"/>
        <v>11.867272727272727</v>
      </c>
      <c r="V68" s="73">
        <f>IF(Variable_Management!$B$20=3,2,IF((S68*R68/T68)&lt;((T68*(1-(T68/R68)))/(2*Lm*Fsw)),1,2))</f>
        <v>2</v>
      </c>
      <c r="W68" s="71">
        <f t="shared" si="34"/>
        <v>0.79439252336448596</v>
      </c>
      <c r="X68" s="74">
        <f t="shared" si="35"/>
        <v>0.20560747663551404</v>
      </c>
      <c r="Y68" s="73">
        <f t="shared" si="36"/>
        <v>5.8255451713395638</v>
      </c>
      <c r="Z68" s="71">
        <f t="shared" si="30"/>
        <v>14.780045312942509</v>
      </c>
      <c r="AA68" s="71">
        <f t="shared" si="31"/>
        <v>11.98583511325268</v>
      </c>
      <c r="AB68" s="71">
        <v>0</v>
      </c>
      <c r="AC68" s="71">
        <f t="shared" si="37"/>
        <v>0.330418559732786</v>
      </c>
      <c r="AD68" s="74">
        <f t="shared" si="16"/>
        <v>0.330418559732786</v>
      </c>
      <c r="AE68" s="73">
        <f t="shared" si="29"/>
        <v>9.4272727272727277</v>
      </c>
      <c r="AF68" s="71">
        <f t="shared" si="17"/>
        <v>10.682819067622534</v>
      </c>
      <c r="AG68" s="71">
        <f t="shared" si="38"/>
        <v>0.45649049292623828</v>
      </c>
      <c r="AH68" s="71">
        <f t="shared" si="39"/>
        <v>4.1253295190362413</v>
      </c>
      <c r="AI68" s="74">
        <f t="shared" si="19"/>
        <v>4.5818200119624795</v>
      </c>
      <c r="AJ68" s="73">
        <f t="shared" si="20"/>
        <v>2.4400000000000004</v>
      </c>
      <c r="AK68" s="71">
        <f t="shared" si="40"/>
        <v>5.4348523559082365</v>
      </c>
      <c r="AL68" s="71">
        <f t="shared" si="41"/>
        <v>0.11815048052208524</v>
      </c>
      <c r="AM68" s="71">
        <f t="shared" si="48"/>
        <v>0</v>
      </c>
      <c r="AN68" s="188">
        <f t="shared" si="42"/>
        <v>0.1773605437553101</v>
      </c>
      <c r="AO68" s="74">
        <f t="shared" si="24"/>
        <v>0.29551102427739534</v>
      </c>
      <c r="AP68" s="73">
        <f t="shared" si="43"/>
        <v>0.21549036504312133</v>
      </c>
      <c r="AQ68" s="206">
        <f t="shared" si="44"/>
        <v>0.330418559732786</v>
      </c>
      <c r="AR68" s="206">
        <f t="shared" si="45"/>
        <v>3.0218089420955812</v>
      </c>
      <c r="AS68" s="71">
        <f t="shared" si="46"/>
        <v>0.12000000000000001</v>
      </c>
      <c r="AT68" s="74">
        <f t="shared" si="47"/>
        <v>3.6299999999999995E-5</v>
      </c>
      <c r="AU68" s="73">
        <f t="shared" si="26"/>
        <v>8.8955037628441502</v>
      </c>
      <c r="AV68" s="71">
        <f t="shared" si="27"/>
        <v>130.54</v>
      </c>
      <c r="AW68" s="74">
        <f t="shared" si="28"/>
        <v>93.62034523289428</v>
      </c>
    </row>
    <row r="69" spans="17:49" x14ac:dyDescent="0.25">
      <c r="Q69">
        <v>62</v>
      </c>
      <c r="R69" s="73">
        <f t="shared" si="0"/>
        <v>53.5</v>
      </c>
      <c r="S69" s="71">
        <f t="shared" si="32"/>
        <v>2.48</v>
      </c>
      <c r="T69" s="71">
        <f t="shared" si="2"/>
        <v>11</v>
      </c>
      <c r="U69" s="74">
        <f t="shared" si="33"/>
        <v>12.061818181818182</v>
      </c>
      <c r="V69" s="73">
        <f>IF(Variable_Management!$B$20=3,2,IF((S69*R69/T69)&lt;((T69*(1-(T69/R69)))/(2*Lm*Fsw)),1,2))</f>
        <v>2</v>
      </c>
      <c r="W69" s="71">
        <f t="shared" si="34"/>
        <v>0.79439252336448596</v>
      </c>
      <c r="X69" s="74">
        <f t="shared" si="35"/>
        <v>0.20560747663551404</v>
      </c>
      <c r="Y69" s="73">
        <f t="shared" si="36"/>
        <v>5.8255451713395638</v>
      </c>
      <c r="Z69" s="71">
        <f t="shared" si="30"/>
        <v>14.974590767487964</v>
      </c>
      <c r="AA69" s="71">
        <f t="shared" si="31"/>
        <v>12.178486738090635</v>
      </c>
      <c r="AB69" s="71">
        <v>0</v>
      </c>
      <c r="AC69" s="71">
        <f t="shared" si="37"/>
        <v>0.34112574022865383</v>
      </c>
      <c r="AD69" s="74">
        <f t="shared" si="16"/>
        <v>0.34112574022865383</v>
      </c>
      <c r="AE69" s="73">
        <f t="shared" si="29"/>
        <v>9.581818181818182</v>
      </c>
      <c r="AF69" s="71">
        <f t="shared" si="17"/>
        <v>10.854526957125517</v>
      </c>
      <c r="AG69" s="71">
        <f t="shared" si="38"/>
        <v>0.47128302185185811</v>
      </c>
      <c r="AH69" s="71">
        <f t="shared" si="39"/>
        <v>4.1929578718073284</v>
      </c>
      <c r="AI69" s="74">
        <f t="shared" si="19"/>
        <v>4.6642408936591861</v>
      </c>
      <c r="AJ69" s="73">
        <f t="shared" si="20"/>
        <v>2.4800000000000004</v>
      </c>
      <c r="AK69" s="71">
        <f t="shared" si="40"/>
        <v>5.5222082328435373</v>
      </c>
      <c r="AL69" s="71">
        <f t="shared" si="41"/>
        <v>0.12197913506753978</v>
      </c>
      <c r="AM69" s="71">
        <f t="shared" si="48"/>
        <v>0</v>
      </c>
      <c r="AN69" s="188">
        <f t="shared" si="42"/>
        <v>0.17969508920985558</v>
      </c>
      <c r="AO69" s="74">
        <f t="shared" si="24"/>
        <v>0.30167422427739538</v>
      </c>
      <c r="AP69" s="73">
        <f t="shared" si="43"/>
        <v>0.22247330884477423</v>
      </c>
      <c r="AQ69" s="206">
        <f t="shared" si="44"/>
        <v>0.34112574022865383</v>
      </c>
      <c r="AR69" s="206">
        <f t="shared" si="45"/>
        <v>3.0218089420955812</v>
      </c>
      <c r="AS69" s="71">
        <f t="shared" si="46"/>
        <v>0.12000000000000001</v>
      </c>
      <c r="AT69" s="74">
        <f t="shared" si="47"/>
        <v>3.6299999999999995E-5</v>
      </c>
      <c r="AU69" s="73">
        <f t="shared" si="26"/>
        <v>9.0124851493342462</v>
      </c>
      <c r="AV69" s="71">
        <f t="shared" si="27"/>
        <v>132.68</v>
      </c>
      <c r="AW69" s="74">
        <f t="shared" si="28"/>
        <v>93.639404983379521</v>
      </c>
    </row>
    <row r="70" spans="17:49" x14ac:dyDescent="0.25">
      <c r="Q70">
        <v>63</v>
      </c>
      <c r="R70" s="73">
        <f t="shared" si="0"/>
        <v>53.5</v>
      </c>
      <c r="S70" s="71">
        <f t="shared" si="32"/>
        <v>2.52</v>
      </c>
      <c r="T70" s="71">
        <f t="shared" si="2"/>
        <v>11</v>
      </c>
      <c r="U70" s="74">
        <f t="shared" si="33"/>
        <v>12.256363636363636</v>
      </c>
      <c r="V70" s="73">
        <f>IF(Variable_Management!$B$20=3,2,IF((S70*R70/T70)&lt;((T70*(1-(T70/R70)))/(2*Lm*Fsw)),1,2))</f>
        <v>2</v>
      </c>
      <c r="W70" s="71">
        <f t="shared" si="34"/>
        <v>0.79439252336448596</v>
      </c>
      <c r="X70" s="74">
        <f t="shared" si="35"/>
        <v>0.20560747663551404</v>
      </c>
      <c r="Y70" s="73">
        <f t="shared" si="36"/>
        <v>5.8255451713395638</v>
      </c>
      <c r="Z70" s="71">
        <f t="shared" si="30"/>
        <v>15.169136222033417</v>
      </c>
      <c r="AA70" s="71">
        <f t="shared" si="31"/>
        <v>12.371197636663421</v>
      </c>
      <c r="AB70" s="71">
        <v>0</v>
      </c>
      <c r="AC70" s="71">
        <f t="shared" si="37"/>
        <v>0.35200702122038918</v>
      </c>
      <c r="AD70" s="74">
        <f t="shared" si="16"/>
        <v>0.35200702122038918</v>
      </c>
      <c r="AE70" s="73">
        <f t="shared" si="29"/>
        <v>9.7363636363636363</v>
      </c>
      <c r="AF70" s="71">
        <f t="shared" si="17"/>
        <v>11.026287676538031</v>
      </c>
      <c r="AG70" s="71">
        <f t="shared" si="38"/>
        <v>0.48631607970309781</v>
      </c>
      <c r="AH70" s="71">
        <f t="shared" si="39"/>
        <v>4.2605862245784145</v>
      </c>
      <c r="AI70" s="74">
        <f t="shared" si="19"/>
        <v>4.7469023042815124</v>
      </c>
      <c r="AJ70" s="73">
        <f t="shared" si="20"/>
        <v>2.52</v>
      </c>
      <c r="AK70" s="71">
        <f t="shared" si="40"/>
        <v>5.6095909868378291</v>
      </c>
      <c r="AL70" s="71">
        <f t="shared" si="41"/>
        <v>0.12587004415844882</v>
      </c>
      <c r="AM70" s="71">
        <f t="shared" si="48"/>
        <v>0</v>
      </c>
      <c r="AN70" s="188">
        <f t="shared" si="42"/>
        <v>0.182029634664401</v>
      </c>
      <c r="AO70" s="74">
        <f t="shared" si="24"/>
        <v>0.30789967882284985</v>
      </c>
      <c r="AP70" s="73">
        <f t="shared" si="43"/>
        <v>0.22956979644807993</v>
      </c>
      <c r="AQ70" s="206">
        <f t="shared" si="44"/>
        <v>0.35200702122038918</v>
      </c>
      <c r="AR70" s="206">
        <f t="shared" si="45"/>
        <v>3.0218089420955812</v>
      </c>
      <c r="AS70" s="71">
        <f t="shared" si="46"/>
        <v>0.12000000000000001</v>
      </c>
      <c r="AT70" s="74">
        <f t="shared" si="47"/>
        <v>3.6299999999999995E-5</v>
      </c>
      <c r="AU70" s="73">
        <f t="shared" si="26"/>
        <v>9.130231064088802</v>
      </c>
      <c r="AV70" s="71">
        <f t="shared" si="27"/>
        <v>134.82</v>
      </c>
      <c r="AW70" s="74">
        <f t="shared" si="28"/>
        <v>93.657369636298895</v>
      </c>
    </row>
    <row r="71" spans="17:49" x14ac:dyDescent="0.25">
      <c r="Q71">
        <v>64</v>
      </c>
      <c r="R71" s="73">
        <f t="shared" ref="R71:R134" si="49">VOUT</f>
        <v>53.5</v>
      </c>
      <c r="S71" s="71">
        <f t="shared" ref="S71:S102" si="50">Q71*$O$12</f>
        <v>2.56</v>
      </c>
      <c r="T71" s="71">
        <f t="shared" ref="T71:T134" si="51">VIN_var</f>
        <v>11</v>
      </c>
      <c r="U71" s="74">
        <f t="shared" ref="U71:U102" si="52">(R71*S71)/(T71*EFF_est)</f>
        <v>12.450909090909091</v>
      </c>
      <c r="V71" s="73">
        <f>IF(Variable_Management!$B$20=3,2,IF((S71*R71/T71)&lt;((T71*(1-(T71/R71)))/(2*Lm*Fsw)),1,2))</f>
        <v>2</v>
      </c>
      <c r="W71" s="71">
        <f t="shared" ref="W71:W102" si="53">CHOOSE(V71,SQRT((2*S71*Lm*Fsw*(R71-T71))/((T71)^2)),1-(T71/R71))</f>
        <v>0.79439252336448596</v>
      </c>
      <c r="X71" s="74">
        <f t="shared" ref="X71:X102" si="54">CHOOSE(V71,(Lm*Z71*Fsw)/(R71-T71),1-W71)</f>
        <v>0.20560747663551404</v>
      </c>
      <c r="Y71" s="73">
        <f t="shared" ref="Y71:Y102" si="55">(T71*W71)/(Lm*Fsw)</f>
        <v>5.8255451713395638</v>
      </c>
      <c r="Z71" s="71">
        <f t="shared" si="30"/>
        <v>15.363681676578873</v>
      </c>
      <c r="AA71" s="71">
        <f t="shared" si="31"/>
        <v>12.56396508148174</v>
      </c>
      <c r="AB71" s="71">
        <v>0</v>
      </c>
      <c r="AC71" s="71">
        <f t="shared" ref="AC71:AC102" si="56">(AA71^2)*Rdcr</f>
        <v>0.36306240270799262</v>
      </c>
      <c r="AD71" s="74">
        <f t="shared" si="16"/>
        <v>0.36306240270799262</v>
      </c>
      <c r="AE71" s="73">
        <f t="shared" si="29"/>
        <v>9.8909090909090907</v>
      </c>
      <c r="AF71" s="71">
        <f t="shared" si="17"/>
        <v>11.198098794884306</v>
      </c>
      <c r="AG71" s="71">
        <f t="shared" ref="AG71:AG102" si="57">(AF71^2)*RDS_on</f>
        <v>0.5015896664799574</v>
      </c>
      <c r="AH71" s="71">
        <f t="shared" ref="AH71:AH102" si="58">((R71*U71)/2)*Fsw*(tr_sw+tf_sw)</f>
        <v>4.3282145773494998</v>
      </c>
      <c r="AI71" s="74">
        <f t="shared" si="19"/>
        <v>4.8298042438294573</v>
      </c>
      <c r="AJ71" s="73">
        <f t="shared" si="20"/>
        <v>2.5600000000000005</v>
      </c>
      <c r="AK71" s="71">
        <f t="shared" ref="AK71:AK102" si="59">CHOOSE(V71,Z71*SQRT(X71/3),SQRT(X71*((Z71^2)+((Y71^2)/3)-(Y71*Z71))))</f>
        <v>5.6969993811394364</v>
      </c>
      <c r="AL71" s="71">
        <f t="shared" ref="AL71:AL102" si="60">(AK71^2)*RDS_on_HS</f>
        <v>0.12982320779481249</v>
      </c>
      <c r="AM71" s="71">
        <f t="shared" si="48"/>
        <v>0</v>
      </c>
      <c r="AN71" s="188">
        <f t="shared" ref="AN71:AN102" si="61">Vd_rect*t_dead*Fsw*Z71</f>
        <v>0.18436418011894648</v>
      </c>
      <c r="AO71" s="74">
        <f t="shared" si="24"/>
        <v>0.314187387913759</v>
      </c>
      <c r="AP71" s="73">
        <f t="shared" ref="AP71:AP102" si="62">(AA71^2)*R_cs</f>
        <v>0.23677982785303869</v>
      </c>
      <c r="AQ71" s="206">
        <f t="shared" ref="AQ71:AQ102" si="63">Rdcr*AA71^2</f>
        <v>0.36306240270799262</v>
      </c>
      <c r="AR71" s="206">
        <f t="shared" ref="AR71:AR102" si="64">ABS(7.759*10^-3*Fsw^0.9458*(0.00787*Y71)^2.304)</f>
        <v>3.0218089420955812</v>
      </c>
      <c r="AS71" s="71">
        <f t="shared" ref="AS71:AS102" si="65">(Qg_tot+Qg_tot_HS)*Vcc*Fsw</f>
        <v>0.12000000000000001</v>
      </c>
      <c r="AT71" s="74">
        <f t="shared" ref="AT71:AT102" si="66">IQ*T71</f>
        <v>3.6299999999999995E-5</v>
      </c>
      <c r="AU71" s="73">
        <f t="shared" si="26"/>
        <v>9.2487415071078214</v>
      </c>
      <c r="AV71" s="71">
        <f t="shared" si="27"/>
        <v>136.96</v>
      </c>
      <c r="AW71" s="74">
        <f t="shared" si="28"/>
        <v>93.674289641116843</v>
      </c>
    </row>
    <row r="72" spans="17:49" x14ac:dyDescent="0.25">
      <c r="Q72">
        <v>65</v>
      </c>
      <c r="R72" s="73">
        <f t="shared" si="49"/>
        <v>53.5</v>
      </c>
      <c r="S72" s="71">
        <f t="shared" si="50"/>
        <v>2.6</v>
      </c>
      <c r="T72" s="71">
        <f t="shared" si="51"/>
        <v>11</v>
      </c>
      <c r="U72" s="74">
        <f t="shared" si="52"/>
        <v>12.645454545454545</v>
      </c>
      <c r="V72" s="73">
        <f>IF(Variable_Management!$B$20=3,2,IF((S72*R72/T72)&lt;((T72*(1-(T72/R72)))/(2*Lm*Fsw)),1,2))</f>
        <v>2</v>
      </c>
      <c r="W72" s="71">
        <f t="shared" si="53"/>
        <v>0.79439252336448596</v>
      </c>
      <c r="X72" s="74">
        <f t="shared" si="54"/>
        <v>0.20560747663551404</v>
      </c>
      <c r="Y72" s="73">
        <f t="shared" si="55"/>
        <v>5.8255451713395638</v>
      </c>
      <c r="Z72" s="71">
        <f t="shared" si="30"/>
        <v>15.558227131124326</v>
      </c>
      <c r="AA72" s="71">
        <f t="shared" si="31"/>
        <v>12.756786509139628</v>
      </c>
      <c r="AB72" s="71">
        <v>0</v>
      </c>
      <c r="AC72" s="71">
        <f t="shared" si="56"/>
        <v>0.37429188469146368</v>
      </c>
      <c r="AD72" s="74">
        <f t="shared" ref="AD72:AD135" si="67">AB72+AC72</f>
        <v>0.37429188469146368</v>
      </c>
      <c r="AE72" s="73">
        <f t="shared" si="29"/>
        <v>10.045454545454545</v>
      </c>
      <c r="AF72" s="71">
        <f t="shared" ref="AF72:AF135" si="68">CHOOSE(V72,Z72*SQRT(W72/3),SQRT(W72*((Z72^2)+((Y72^2)/3)-(Z72*Y72))))</f>
        <v>11.369958027433924</v>
      </c>
      <c r="AG72" s="71">
        <f t="shared" si="57"/>
        <v>0.51710378218243647</v>
      </c>
      <c r="AH72" s="71">
        <f t="shared" si="58"/>
        <v>4.395842930120585</v>
      </c>
      <c r="AI72" s="74">
        <f t="shared" ref="AI72:AI135" si="69">AG72+AH72</f>
        <v>4.9129467123030217</v>
      </c>
      <c r="AJ72" s="73">
        <f t="shared" ref="AJ72:AJ135" si="70">X72*U72</f>
        <v>2.6</v>
      </c>
      <c r="AK72" s="71">
        <f t="shared" si="59"/>
        <v>5.7844322533985704</v>
      </c>
      <c r="AL72" s="71">
        <f t="shared" si="60"/>
        <v>0.13383862597663065</v>
      </c>
      <c r="AM72" s="71">
        <f t="shared" ref="AM72:AM103" si="71">CHOOSE(V72,(R72+Vd_rect)*Qrr*Fsw,(R72+Vd_rect)*Qrr*Fsw)</f>
        <v>0</v>
      </c>
      <c r="AN72" s="188">
        <f t="shared" si="61"/>
        <v>0.18669872557349193</v>
      </c>
      <c r="AO72" s="74">
        <f t="shared" ref="AO72:AO135" si="72">AL72+AM72+AN72</f>
        <v>0.32053735155012258</v>
      </c>
      <c r="AP72" s="73">
        <f t="shared" si="62"/>
        <v>0.24410340305965025</v>
      </c>
      <c r="AQ72" s="206">
        <f t="shared" si="63"/>
        <v>0.37429188469146368</v>
      </c>
      <c r="AR72" s="206">
        <f t="shared" si="64"/>
        <v>3.0218089420955812</v>
      </c>
      <c r="AS72" s="71">
        <f t="shared" si="65"/>
        <v>0.12000000000000001</v>
      </c>
      <c r="AT72" s="74">
        <f t="shared" si="66"/>
        <v>3.6299999999999995E-5</v>
      </c>
      <c r="AU72" s="73">
        <f t="shared" ref="AU72:AU135" si="73">AP72+AO72+AI72+AD72+AS72+AT72+AQ72+AR72</f>
        <v>9.3680164783913025</v>
      </c>
      <c r="AV72" s="71">
        <f t="shared" ref="AV72:AV135" si="74">R72*S72</f>
        <v>139.1</v>
      </c>
      <c r="AW72" s="74">
        <f t="shared" ref="AW72:AW135" si="75">(AV72/(AV72+AU72))*100</f>
        <v>93.690212410324236</v>
      </c>
    </row>
    <row r="73" spans="17:49" x14ac:dyDescent="0.25">
      <c r="Q73">
        <v>66</v>
      </c>
      <c r="R73" s="73">
        <f t="shared" si="49"/>
        <v>53.5</v>
      </c>
      <c r="S73" s="71">
        <f t="shared" si="50"/>
        <v>2.64</v>
      </c>
      <c r="T73" s="71">
        <f t="shared" si="51"/>
        <v>11</v>
      </c>
      <c r="U73" s="74">
        <f t="shared" si="52"/>
        <v>12.840000000000002</v>
      </c>
      <c r="V73" s="73">
        <f>IF(Variable_Management!$B$20=3,2,IF((S73*R73/T73)&lt;((T73*(1-(T73/R73)))/(2*Lm*Fsw)),1,2))</f>
        <v>2</v>
      </c>
      <c r="W73" s="71">
        <f t="shared" si="53"/>
        <v>0.79439252336448596</v>
      </c>
      <c r="X73" s="74">
        <f t="shared" si="54"/>
        <v>0.20560747663551404</v>
      </c>
      <c r="Y73" s="73">
        <f t="shared" si="55"/>
        <v>5.8255451713395638</v>
      </c>
      <c r="Z73" s="71">
        <f t="shared" si="30"/>
        <v>15.752772585669783</v>
      </c>
      <c r="AA73" s="71">
        <f t="shared" si="31"/>
        <v>12.949659508211397</v>
      </c>
      <c r="AB73" s="71">
        <v>0</v>
      </c>
      <c r="AC73" s="71">
        <f t="shared" si="56"/>
        <v>0.38569546717080266</v>
      </c>
      <c r="AD73" s="74">
        <f t="shared" si="67"/>
        <v>0.38569546717080266</v>
      </c>
      <c r="AE73" s="73">
        <f t="shared" ref="AE73:AE136" si="76">U73*W73</f>
        <v>10.200000000000001</v>
      </c>
      <c r="AF73" s="71">
        <f t="shared" si="68"/>
        <v>11.541863224914509</v>
      </c>
      <c r="AG73" s="71">
        <f t="shared" si="57"/>
        <v>0.53285842681053586</v>
      </c>
      <c r="AH73" s="71">
        <f t="shared" si="58"/>
        <v>4.4634712828916712</v>
      </c>
      <c r="AI73" s="74">
        <f t="shared" si="69"/>
        <v>4.9963297097022075</v>
      </c>
      <c r="AJ73" s="73">
        <f t="shared" si="70"/>
        <v>2.6400000000000006</v>
      </c>
      <c r="AK73" s="71">
        <f t="shared" si="59"/>
        <v>5.871888510179315</v>
      </c>
      <c r="AL73" s="71">
        <f t="shared" si="60"/>
        <v>0.13791629870390343</v>
      </c>
      <c r="AM73" s="71">
        <f t="shared" si="71"/>
        <v>0</v>
      </c>
      <c r="AN73" s="188">
        <f t="shared" si="61"/>
        <v>0.18903327102803741</v>
      </c>
      <c r="AO73" s="74">
        <f t="shared" si="72"/>
        <v>0.32694956973194084</v>
      </c>
      <c r="AP73" s="73">
        <f t="shared" si="62"/>
        <v>0.25154052206791477</v>
      </c>
      <c r="AQ73" s="206">
        <f t="shared" si="63"/>
        <v>0.38569546717080266</v>
      </c>
      <c r="AR73" s="206">
        <f t="shared" si="64"/>
        <v>3.0218089420955812</v>
      </c>
      <c r="AS73" s="71">
        <f t="shared" si="65"/>
        <v>0.12000000000000001</v>
      </c>
      <c r="AT73" s="74">
        <f t="shared" si="66"/>
        <v>3.6299999999999995E-5</v>
      </c>
      <c r="AU73" s="73">
        <f t="shared" si="73"/>
        <v>9.4880559779392488</v>
      </c>
      <c r="AV73" s="71">
        <f t="shared" si="74"/>
        <v>141.24</v>
      </c>
      <c r="AW73" s="74">
        <f t="shared" si="75"/>
        <v>93.705182544563613</v>
      </c>
    </row>
    <row r="74" spans="17:49" x14ac:dyDescent="0.25">
      <c r="Q74">
        <v>67</v>
      </c>
      <c r="R74" s="73">
        <f t="shared" si="49"/>
        <v>53.5</v>
      </c>
      <c r="S74" s="71">
        <f t="shared" si="50"/>
        <v>2.68</v>
      </c>
      <c r="T74" s="71">
        <f t="shared" si="51"/>
        <v>11</v>
      </c>
      <c r="U74" s="74">
        <f t="shared" si="52"/>
        <v>13.034545454545453</v>
      </c>
      <c r="V74" s="73">
        <f>IF(Variable_Management!$B$20=3,2,IF((S74*R74/T74)&lt;((T74*(1-(T74/R74)))/(2*Lm*Fsw)),1,2))</f>
        <v>2</v>
      </c>
      <c r="W74" s="71">
        <f t="shared" si="53"/>
        <v>0.79439252336448596</v>
      </c>
      <c r="X74" s="74">
        <f t="shared" si="54"/>
        <v>0.20560747663551404</v>
      </c>
      <c r="Y74" s="73">
        <f t="shared" si="55"/>
        <v>5.8255451713395638</v>
      </c>
      <c r="Z74" s="71">
        <f t="shared" si="30"/>
        <v>15.947318040215235</v>
      </c>
      <c r="AA74" s="71">
        <f t="shared" si="31"/>
        <v>13.142581808199687</v>
      </c>
      <c r="AB74" s="71">
        <v>0</v>
      </c>
      <c r="AC74" s="71">
        <f t="shared" si="56"/>
        <v>0.39727315014600911</v>
      </c>
      <c r="AD74" s="74">
        <f t="shared" si="67"/>
        <v>0.39727315014600911</v>
      </c>
      <c r="AE74" s="73">
        <f t="shared" si="76"/>
        <v>10.354545454545454</v>
      </c>
      <c r="AF74" s="71">
        <f t="shared" si="68"/>
        <v>11.713812363661271</v>
      </c>
      <c r="AG74" s="71">
        <f t="shared" si="57"/>
        <v>0.54885360036425457</v>
      </c>
      <c r="AH74" s="71">
        <f t="shared" si="58"/>
        <v>4.5310996356627573</v>
      </c>
      <c r="AI74" s="74">
        <f t="shared" si="69"/>
        <v>5.0799532360270119</v>
      </c>
      <c r="AJ74" s="73">
        <f t="shared" si="70"/>
        <v>2.68</v>
      </c>
      <c r="AK74" s="71">
        <f t="shared" si="59"/>
        <v>5.9593671219482403</v>
      </c>
      <c r="AL74" s="71">
        <f t="shared" si="60"/>
        <v>0.14205622597663059</v>
      </c>
      <c r="AM74" s="71">
        <f t="shared" si="71"/>
        <v>0</v>
      </c>
      <c r="AN74" s="188">
        <f t="shared" si="61"/>
        <v>0.19136781648258283</v>
      </c>
      <c r="AO74" s="74">
        <f t="shared" si="72"/>
        <v>0.33342404245921342</v>
      </c>
      <c r="AP74" s="73">
        <f t="shared" si="62"/>
        <v>0.259091184877832</v>
      </c>
      <c r="AQ74" s="206">
        <f t="shared" si="63"/>
        <v>0.39727315014600911</v>
      </c>
      <c r="AR74" s="206">
        <f t="shared" si="64"/>
        <v>3.0218089420955812</v>
      </c>
      <c r="AS74" s="71">
        <f t="shared" si="65"/>
        <v>0.12000000000000001</v>
      </c>
      <c r="AT74" s="74">
        <f t="shared" si="66"/>
        <v>3.6299999999999995E-5</v>
      </c>
      <c r="AU74" s="73">
        <f t="shared" si="73"/>
        <v>9.6088600057516551</v>
      </c>
      <c r="AV74" s="71">
        <f t="shared" si="74"/>
        <v>143.38</v>
      </c>
      <c r="AW74" s="74">
        <f t="shared" si="75"/>
        <v>93.719242038021321</v>
      </c>
    </row>
    <row r="75" spans="17:49" x14ac:dyDescent="0.25">
      <c r="Q75">
        <v>68</v>
      </c>
      <c r="R75" s="73">
        <f t="shared" si="49"/>
        <v>53.5</v>
      </c>
      <c r="S75" s="71">
        <f t="shared" si="50"/>
        <v>2.72</v>
      </c>
      <c r="T75" s="71">
        <f t="shared" si="51"/>
        <v>11</v>
      </c>
      <c r="U75" s="74">
        <f t="shared" si="52"/>
        <v>13.22909090909091</v>
      </c>
      <c r="V75" s="73">
        <f>IF(Variable_Management!$B$20=3,2,IF((S75*R75/T75)&lt;((T75*(1-(T75/R75)))/(2*Lm*Fsw)),1,2))</f>
        <v>2</v>
      </c>
      <c r="W75" s="71">
        <f t="shared" si="53"/>
        <v>0.79439252336448596</v>
      </c>
      <c r="X75" s="74">
        <f t="shared" si="54"/>
        <v>0.20560747663551404</v>
      </c>
      <c r="Y75" s="73">
        <f t="shared" si="55"/>
        <v>5.8255451713395638</v>
      </c>
      <c r="Z75" s="71">
        <f t="shared" si="30"/>
        <v>16.141863494760692</v>
      </c>
      <c r="AA75" s="71">
        <f t="shared" si="31"/>
        <v>13.335551269430205</v>
      </c>
      <c r="AB75" s="71">
        <v>0</v>
      </c>
      <c r="AC75" s="71">
        <f t="shared" si="56"/>
        <v>0.40902493361708353</v>
      </c>
      <c r="AD75" s="74">
        <f t="shared" si="67"/>
        <v>0.40902493361708353</v>
      </c>
      <c r="AE75" s="73">
        <f t="shared" si="76"/>
        <v>10.50909090909091</v>
      </c>
      <c r="AF75" s="71">
        <f t="shared" si="68"/>
        <v>11.885803536610322</v>
      </c>
      <c r="AG75" s="71">
        <f t="shared" si="57"/>
        <v>0.56508930284359371</v>
      </c>
      <c r="AH75" s="71">
        <f t="shared" si="58"/>
        <v>4.5987279884338443</v>
      </c>
      <c r="AI75" s="74">
        <f t="shared" si="69"/>
        <v>5.1638172912774376</v>
      </c>
      <c r="AJ75" s="73">
        <f t="shared" si="70"/>
        <v>2.7200000000000006</v>
      </c>
      <c r="AK75" s="71">
        <f t="shared" si="59"/>
        <v>6.0468671184922798</v>
      </c>
      <c r="AL75" s="71">
        <f t="shared" si="60"/>
        <v>0.14625840779481253</v>
      </c>
      <c r="AM75" s="71">
        <f t="shared" si="71"/>
        <v>0</v>
      </c>
      <c r="AN75" s="188">
        <f t="shared" si="61"/>
        <v>0.19370236193712831</v>
      </c>
      <c r="AO75" s="74">
        <f t="shared" si="72"/>
        <v>0.33996076973194084</v>
      </c>
      <c r="AP75" s="73">
        <f t="shared" si="62"/>
        <v>0.2667553914894023</v>
      </c>
      <c r="AQ75" s="206">
        <f t="shared" si="63"/>
        <v>0.40902493361708353</v>
      </c>
      <c r="AR75" s="206">
        <f t="shared" si="64"/>
        <v>3.0218089420955812</v>
      </c>
      <c r="AS75" s="71">
        <f t="shared" si="65"/>
        <v>0.12000000000000001</v>
      </c>
      <c r="AT75" s="74">
        <f t="shared" si="66"/>
        <v>3.6299999999999995E-5</v>
      </c>
      <c r="AU75" s="73">
        <f t="shared" si="73"/>
        <v>9.7304285618285284</v>
      </c>
      <c r="AV75" s="71">
        <f t="shared" si="74"/>
        <v>145.52000000000001</v>
      </c>
      <c r="AW75" s="74">
        <f t="shared" si="75"/>
        <v>93.732430466075414</v>
      </c>
    </row>
    <row r="76" spans="17:49" x14ac:dyDescent="0.25">
      <c r="Q76">
        <v>69</v>
      </c>
      <c r="R76" s="73">
        <f t="shared" si="49"/>
        <v>53.5</v>
      </c>
      <c r="S76" s="71">
        <f t="shared" si="50"/>
        <v>2.7600000000000002</v>
      </c>
      <c r="T76" s="71">
        <f t="shared" si="51"/>
        <v>11</v>
      </c>
      <c r="U76" s="74">
        <f t="shared" si="52"/>
        <v>13.423636363636366</v>
      </c>
      <c r="V76" s="73">
        <f>IF(Variable_Management!$B$20=3,2,IF((S76*R76/T76)&lt;((T76*(1-(T76/R76)))/(2*Lm*Fsw)),1,2))</f>
        <v>2</v>
      </c>
      <c r="W76" s="71">
        <f t="shared" si="53"/>
        <v>0.79439252336448596</v>
      </c>
      <c r="X76" s="74">
        <f t="shared" si="54"/>
        <v>0.20560747663551404</v>
      </c>
      <c r="Y76" s="73">
        <f t="shared" si="55"/>
        <v>5.8255451713395638</v>
      </c>
      <c r="Z76" s="71">
        <f t="shared" si="30"/>
        <v>16.336408949306147</v>
      </c>
      <c r="AA76" s="71">
        <f t="shared" si="31"/>
        <v>13.528565873800163</v>
      </c>
      <c r="AB76" s="71">
        <v>0</v>
      </c>
      <c r="AC76" s="71">
        <f t="shared" si="56"/>
        <v>0.42095081758402586</v>
      </c>
      <c r="AD76" s="74">
        <f t="shared" si="67"/>
        <v>0.42095081758402586</v>
      </c>
      <c r="AE76" s="73">
        <f t="shared" si="76"/>
        <v>10.663636363636364</v>
      </c>
      <c r="AF76" s="71">
        <f t="shared" si="68"/>
        <v>12.057834945052869</v>
      </c>
      <c r="AG76" s="71">
        <f t="shared" si="57"/>
        <v>0.58156553424855262</v>
      </c>
      <c r="AH76" s="71">
        <f t="shared" si="58"/>
        <v>4.6663563412049296</v>
      </c>
      <c r="AI76" s="74">
        <f t="shared" si="69"/>
        <v>5.247921875453482</v>
      </c>
      <c r="AJ76" s="73">
        <f t="shared" si="70"/>
        <v>2.7600000000000007</v>
      </c>
      <c r="AK76" s="71">
        <f t="shared" si="59"/>
        <v>6.1343875847236964</v>
      </c>
      <c r="AL76" s="71">
        <f t="shared" si="60"/>
        <v>0.15052284415844888</v>
      </c>
      <c r="AM76" s="71">
        <f t="shared" si="71"/>
        <v>0</v>
      </c>
      <c r="AN76" s="188">
        <f t="shared" si="61"/>
        <v>0.19603690739167376</v>
      </c>
      <c r="AO76" s="74">
        <f t="shared" si="72"/>
        <v>0.34655975155012264</v>
      </c>
      <c r="AP76" s="73">
        <f t="shared" si="62"/>
        <v>0.27453314190262557</v>
      </c>
      <c r="AQ76" s="206">
        <f t="shared" si="63"/>
        <v>0.42095081758402586</v>
      </c>
      <c r="AR76" s="206">
        <f t="shared" si="64"/>
        <v>3.0218089420955812</v>
      </c>
      <c r="AS76" s="71">
        <f t="shared" si="65"/>
        <v>0.12000000000000001</v>
      </c>
      <c r="AT76" s="74">
        <f t="shared" si="66"/>
        <v>3.6299999999999995E-5</v>
      </c>
      <c r="AU76" s="73">
        <f t="shared" si="73"/>
        <v>9.8527616461698635</v>
      </c>
      <c r="AV76" s="71">
        <f t="shared" si="74"/>
        <v>147.66000000000003</v>
      </c>
      <c r="AW76" s="74">
        <f t="shared" si="75"/>
        <v>93.74478515696228</v>
      </c>
    </row>
    <row r="77" spans="17:49" x14ac:dyDescent="0.25">
      <c r="Q77">
        <v>70</v>
      </c>
      <c r="R77" s="73">
        <f t="shared" si="49"/>
        <v>53.5</v>
      </c>
      <c r="S77" s="71">
        <f t="shared" si="50"/>
        <v>2.8000000000000003</v>
      </c>
      <c r="T77" s="71">
        <f t="shared" si="51"/>
        <v>11</v>
      </c>
      <c r="U77" s="74">
        <f t="shared" si="52"/>
        <v>13.618181818181819</v>
      </c>
      <c r="V77" s="73">
        <f>IF(Variable_Management!$B$20=3,2,IF((S77*R77/T77)&lt;((T77*(1-(T77/R77)))/(2*Lm*Fsw)),1,2))</f>
        <v>2</v>
      </c>
      <c r="W77" s="71">
        <f t="shared" si="53"/>
        <v>0.79439252336448596</v>
      </c>
      <c r="X77" s="74">
        <f t="shared" si="54"/>
        <v>0.20560747663551404</v>
      </c>
      <c r="Y77" s="73">
        <f t="shared" si="55"/>
        <v>5.8255451713395638</v>
      </c>
      <c r="Z77" s="71">
        <f t="shared" si="30"/>
        <v>16.530954403851602</v>
      </c>
      <c r="AA77" s="71">
        <f t="shared" si="31"/>
        <v>13.721623716297852</v>
      </c>
      <c r="AB77" s="71">
        <v>0</v>
      </c>
      <c r="AC77" s="71">
        <f t="shared" si="56"/>
        <v>0.43305080204683571</v>
      </c>
      <c r="AD77" s="74">
        <f t="shared" si="67"/>
        <v>0.43305080204683571</v>
      </c>
      <c r="AE77" s="73">
        <f t="shared" si="76"/>
        <v>10.818181818181818</v>
      </c>
      <c r="AF77" s="71">
        <f t="shared" si="68"/>
        <v>12.229904891076741</v>
      </c>
      <c r="AG77" s="71">
        <f t="shared" si="57"/>
        <v>0.59828229457913118</v>
      </c>
      <c r="AH77" s="71">
        <f t="shared" si="58"/>
        <v>4.7339846939760157</v>
      </c>
      <c r="AI77" s="74">
        <f t="shared" si="69"/>
        <v>5.3322669885551468</v>
      </c>
      <c r="AJ77" s="73">
        <f t="shared" si="70"/>
        <v>2.8000000000000007</v>
      </c>
      <c r="AK77" s="71">
        <f t="shared" si="59"/>
        <v>6.2219276568347333</v>
      </c>
      <c r="AL77" s="71">
        <f t="shared" si="60"/>
        <v>0.15484953506753982</v>
      </c>
      <c r="AM77" s="71">
        <f t="shared" si="71"/>
        <v>0</v>
      </c>
      <c r="AN77" s="188">
        <f t="shared" si="61"/>
        <v>0.19837145284621924</v>
      </c>
      <c r="AO77" s="74">
        <f t="shared" si="72"/>
        <v>0.35322098791375905</v>
      </c>
      <c r="AP77" s="73">
        <f t="shared" si="62"/>
        <v>0.28242443611750156</v>
      </c>
      <c r="AQ77" s="206">
        <f t="shared" si="63"/>
        <v>0.43305080204683571</v>
      </c>
      <c r="AR77" s="206">
        <f t="shared" si="64"/>
        <v>3.0218089420955812</v>
      </c>
      <c r="AS77" s="71">
        <f t="shared" si="65"/>
        <v>0.12000000000000001</v>
      </c>
      <c r="AT77" s="74">
        <f t="shared" si="66"/>
        <v>3.6299999999999995E-5</v>
      </c>
      <c r="AU77" s="73">
        <f t="shared" si="73"/>
        <v>9.9758592587756603</v>
      </c>
      <c r="AV77" s="71">
        <f t="shared" si="74"/>
        <v>149.80000000000001</v>
      </c>
      <c r="AW77" s="74">
        <f t="shared" si="75"/>
        <v>93.756341349027821</v>
      </c>
    </row>
    <row r="78" spans="17:49" x14ac:dyDescent="0.25">
      <c r="Q78">
        <v>71</v>
      </c>
      <c r="R78" s="73">
        <f t="shared" si="49"/>
        <v>53.5</v>
      </c>
      <c r="S78" s="71">
        <f t="shared" si="50"/>
        <v>2.84</v>
      </c>
      <c r="T78" s="71">
        <f t="shared" si="51"/>
        <v>11</v>
      </c>
      <c r="U78" s="74">
        <f t="shared" si="52"/>
        <v>13.812727272727273</v>
      </c>
      <c r="V78" s="73">
        <f>IF(Variable_Management!$B$20=3,2,IF((S78*R78/T78)&lt;((T78*(1-(T78/R78)))/(2*Lm*Fsw)),1,2))</f>
        <v>2</v>
      </c>
      <c r="W78" s="71">
        <f t="shared" si="53"/>
        <v>0.79439252336448596</v>
      </c>
      <c r="X78" s="74">
        <f t="shared" si="54"/>
        <v>0.20560747663551404</v>
      </c>
      <c r="Y78" s="73">
        <f t="shared" si="55"/>
        <v>5.8255451713395638</v>
      </c>
      <c r="Z78" s="71">
        <f t="shared" si="30"/>
        <v>16.725499858397054</v>
      </c>
      <c r="AA78" s="71">
        <f t="shared" si="31"/>
        <v>13.914722997219657</v>
      </c>
      <c r="AB78" s="71">
        <v>0</v>
      </c>
      <c r="AC78" s="71">
        <f t="shared" si="56"/>
        <v>0.44532488700551326</v>
      </c>
      <c r="AD78" s="74">
        <f t="shared" si="67"/>
        <v>0.44532488700551326</v>
      </c>
      <c r="AE78" s="73">
        <f t="shared" si="76"/>
        <v>10.972727272727273</v>
      </c>
      <c r="AF78" s="71">
        <f t="shared" si="68"/>
        <v>12.402011770629484</v>
      </c>
      <c r="AG78" s="71">
        <f t="shared" si="57"/>
        <v>0.61523958383532906</v>
      </c>
      <c r="AH78" s="71">
        <f t="shared" si="58"/>
        <v>4.801613046747101</v>
      </c>
      <c r="AI78" s="74">
        <f t="shared" si="69"/>
        <v>5.4168526305824303</v>
      </c>
      <c r="AJ78" s="73">
        <f t="shared" si="70"/>
        <v>2.8400000000000003</v>
      </c>
      <c r="AK78" s="71">
        <f t="shared" si="59"/>
        <v>6.3094865187684883</v>
      </c>
      <c r="AL78" s="71">
        <f t="shared" si="60"/>
        <v>0.1592384805220852</v>
      </c>
      <c r="AM78" s="71">
        <f t="shared" si="71"/>
        <v>0</v>
      </c>
      <c r="AN78" s="188">
        <f t="shared" si="61"/>
        <v>0.20070599830076466</v>
      </c>
      <c r="AO78" s="74">
        <f t="shared" si="72"/>
        <v>0.35994447882284986</v>
      </c>
      <c r="AP78" s="73">
        <f t="shared" si="62"/>
        <v>0.29042927413403041</v>
      </c>
      <c r="AQ78" s="206">
        <f t="shared" si="63"/>
        <v>0.44532488700551326</v>
      </c>
      <c r="AR78" s="206">
        <f t="shared" si="64"/>
        <v>3.0218089420955812</v>
      </c>
      <c r="AS78" s="71">
        <f t="shared" si="65"/>
        <v>0.12000000000000001</v>
      </c>
      <c r="AT78" s="74">
        <f t="shared" si="66"/>
        <v>3.6299999999999995E-5</v>
      </c>
      <c r="AU78" s="73">
        <f t="shared" si="73"/>
        <v>10.099721399645917</v>
      </c>
      <c r="AV78" s="71">
        <f t="shared" si="74"/>
        <v>151.94</v>
      </c>
      <c r="AW78" s="74">
        <f t="shared" si="75"/>
        <v>93.767132334955988</v>
      </c>
    </row>
    <row r="79" spans="17:49" x14ac:dyDescent="0.25">
      <c r="Q79">
        <v>72</v>
      </c>
      <c r="R79" s="73">
        <f t="shared" si="49"/>
        <v>53.5</v>
      </c>
      <c r="S79" s="71">
        <f t="shared" si="50"/>
        <v>2.88</v>
      </c>
      <c r="T79" s="71">
        <f t="shared" si="51"/>
        <v>11</v>
      </c>
      <c r="U79" s="74">
        <f t="shared" si="52"/>
        <v>14.007272727272726</v>
      </c>
      <c r="V79" s="73">
        <f>IF(Variable_Management!$B$20=3,2,IF((S79*R79/T79)&lt;((T79*(1-(T79/R79)))/(2*Lm*Fsw)),1,2))</f>
        <v>2</v>
      </c>
      <c r="W79" s="71">
        <f t="shared" si="53"/>
        <v>0.79439252336448596</v>
      </c>
      <c r="X79" s="74">
        <f t="shared" si="54"/>
        <v>0.20560747663551404</v>
      </c>
      <c r="Y79" s="73">
        <f t="shared" si="55"/>
        <v>5.8255451713395638</v>
      </c>
      <c r="Z79" s="71">
        <f t="shared" si="30"/>
        <v>16.920045312942509</v>
      </c>
      <c r="AA79" s="71">
        <f t="shared" si="31"/>
        <v>14.107862015018721</v>
      </c>
      <c r="AB79" s="71">
        <v>0</v>
      </c>
      <c r="AC79" s="71">
        <f t="shared" si="56"/>
        <v>0.45777307246005861</v>
      </c>
      <c r="AD79" s="74">
        <f t="shared" si="67"/>
        <v>0.45777307246005861</v>
      </c>
      <c r="AE79" s="73">
        <f t="shared" si="76"/>
        <v>11.127272727272725</v>
      </c>
      <c r="AF79" s="71">
        <f t="shared" si="68"/>
        <v>12.57415406714451</v>
      </c>
      <c r="AG79" s="71">
        <f t="shared" si="57"/>
        <v>0.63243740201714727</v>
      </c>
      <c r="AH79" s="71">
        <f t="shared" si="58"/>
        <v>4.8692413995181871</v>
      </c>
      <c r="AI79" s="74">
        <f t="shared" si="69"/>
        <v>5.5016788015353342</v>
      </c>
      <c r="AJ79" s="73">
        <f t="shared" si="70"/>
        <v>2.88</v>
      </c>
      <c r="AK79" s="71">
        <f t="shared" si="59"/>
        <v>6.3970633989762291</v>
      </c>
      <c r="AL79" s="71">
        <f t="shared" si="60"/>
        <v>0.16368968052208521</v>
      </c>
      <c r="AM79" s="71">
        <f t="shared" si="71"/>
        <v>0</v>
      </c>
      <c r="AN79" s="188">
        <f t="shared" si="61"/>
        <v>0.20304054375531011</v>
      </c>
      <c r="AO79" s="74">
        <f t="shared" si="72"/>
        <v>0.36673022427739532</v>
      </c>
      <c r="AP79" s="73">
        <f t="shared" si="62"/>
        <v>0.29854765595221211</v>
      </c>
      <c r="AQ79" s="206">
        <f t="shared" si="63"/>
        <v>0.45777307246005861</v>
      </c>
      <c r="AR79" s="206">
        <f t="shared" si="64"/>
        <v>3.0218089420955812</v>
      </c>
      <c r="AS79" s="71">
        <f t="shared" si="65"/>
        <v>0.12000000000000001</v>
      </c>
      <c r="AT79" s="74">
        <f t="shared" si="66"/>
        <v>3.6299999999999995E-5</v>
      </c>
      <c r="AU79" s="73">
        <f t="shared" si="73"/>
        <v>10.224348068780639</v>
      </c>
      <c r="AV79" s="71">
        <f t="shared" si="74"/>
        <v>154.07999999999998</v>
      </c>
      <c r="AW79" s="74">
        <f t="shared" si="75"/>
        <v>93.7771895942154</v>
      </c>
    </row>
    <row r="80" spans="17:49" x14ac:dyDescent="0.25">
      <c r="Q80">
        <v>73</v>
      </c>
      <c r="R80" s="73">
        <f t="shared" si="49"/>
        <v>53.5</v>
      </c>
      <c r="S80" s="71">
        <f t="shared" si="50"/>
        <v>2.92</v>
      </c>
      <c r="T80" s="71">
        <f t="shared" si="51"/>
        <v>11</v>
      </c>
      <c r="U80" s="74">
        <f t="shared" si="52"/>
        <v>14.201818181818181</v>
      </c>
      <c r="V80" s="73">
        <f>IF(Variable_Management!$B$20=3,2,IF((S80*R80/T80)&lt;((T80*(1-(T80/R80)))/(2*Lm*Fsw)),1,2))</f>
        <v>2</v>
      </c>
      <c r="W80" s="71">
        <f t="shared" si="53"/>
        <v>0.79439252336448596</v>
      </c>
      <c r="X80" s="74">
        <f t="shared" si="54"/>
        <v>0.20560747663551404</v>
      </c>
      <c r="Y80" s="73">
        <f t="shared" si="55"/>
        <v>5.8255451713395638</v>
      </c>
      <c r="Z80" s="71">
        <f t="shared" ref="Z80:Z143" si="77">CHOOSE(V80,Y80,U80+(0.5*Y80))</f>
        <v>17.114590767487964</v>
      </c>
      <c r="AA80" s="71">
        <f t="shared" ref="AA80:AA143" si="78">CHOOSE(V80,Z80*SQRT((W80+X80)/3),SQRT((U80^2)+((Y80^2)/12)))</f>
        <v>14.301039159726516</v>
      </c>
      <c r="AB80" s="71">
        <v>0</v>
      </c>
      <c r="AC80" s="71">
        <f t="shared" si="56"/>
        <v>0.47039535841047198</v>
      </c>
      <c r="AD80" s="74">
        <f t="shared" si="67"/>
        <v>0.47039535841047198</v>
      </c>
      <c r="AE80" s="73">
        <f t="shared" si="76"/>
        <v>11.281818181818181</v>
      </c>
      <c r="AF80" s="71">
        <f t="shared" si="68"/>
        <v>12.746330345677785</v>
      </c>
      <c r="AG80" s="71">
        <f t="shared" si="57"/>
        <v>0.64987574912458546</v>
      </c>
      <c r="AH80" s="71">
        <f t="shared" si="58"/>
        <v>4.9368697522892724</v>
      </c>
      <c r="AI80" s="74">
        <f t="shared" si="69"/>
        <v>5.5867455014138576</v>
      </c>
      <c r="AJ80" s="73">
        <f t="shared" si="70"/>
        <v>2.9200000000000004</v>
      </c>
      <c r="AK80" s="71">
        <f t="shared" si="59"/>
        <v>6.4846575674344553</v>
      </c>
      <c r="AL80" s="71">
        <f t="shared" si="60"/>
        <v>0.16820313506753978</v>
      </c>
      <c r="AM80" s="71">
        <f t="shared" si="71"/>
        <v>0</v>
      </c>
      <c r="AN80" s="188">
        <f t="shared" si="61"/>
        <v>0.20537508920985559</v>
      </c>
      <c r="AO80" s="74">
        <f t="shared" si="72"/>
        <v>0.3735782242773954</v>
      </c>
      <c r="AP80" s="73">
        <f t="shared" si="62"/>
        <v>0.30677958157204693</v>
      </c>
      <c r="AQ80" s="206">
        <f t="shared" si="63"/>
        <v>0.47039535841047198</v>
      </c>
      <c r="AR80" s="206">
        <f t="shared" si="64"/>
        <v>3.0218089420955812</v>
      </c>
      <c r="AS80" s="71">
        <f t="shared" si="65"/>
        <v>0.12000000000000001</v>
      </c>
      <c r="AT80" s="74">
        <f t="shared" si="66"/>
        <v>3.6299999999999995E-5</v>
      </c>
      <c r="AU80" s="73">
        <f t="shared" si="73"/>
        <v>10.349739266179824</v>
      </c>
      <c r="AV80" s="71">
        <f t="shared" si="74"/>
        <v>156.22</v>
      </c>
      <c r="AW80" s="74">
        <f t="shared" si="75"/>
        <v>93.786542914832296</v>
      </c>
    </row>
    <row r="81" spans="17:49" x14ac:dyDescent="0.25">
      <c r="Q81">
        <v>74</v>
      </c>
      <c r="R81" s="73">
        <f t="shared" si="49"/>
        <v>53.5</v>
      </c>
      <c r="S81" s="71">
        <f t="shared" si="50"/>
        <v>2.96</v>
      </c>
      <c r="T81" s="71">
        <f t="shared" si="51"/>
        <v>11</v>
      </c>
      <c r="U81" s="74">
        <f t="shared" si="52"/>
        <v>14.396363636363635</v>
      </c>
      <c r="V81" s="73">
        <f>IF(Variable_Management!$B$20=3,2,IF((S81*R81/T81)&lt;((T81*(1-(T81/R81)))/(2*Lm*Fsw)),1,2))</f>
        <v>2</v>
      </c>
      <c r="W81" s="71">
        <f t="shared" si="53"/>
        <v>0.79439252336448596</v>
      </c>
      <c r="X81" s="74">
        <f t="shared" si="54"/>
        <v>0.20560747663551404</v>
      </c>
      <c r="Y81" s="73">
        <f t="shared" si="55"/>
        <v>5.8255451713395638</v>
      </c>
      <c r="Z81" s="71">
        <f t="shared" si="77"/>
        <v>17.309136222033416</v>
      </c>
      <c r="AA81" s="71">
        <f t="shared" si="78"/>
        <v>14.494252906894614</v>
      </c>
      <c r="AB81" s="71">
        <v>0</v>
      </c>
      <c r="AC81" s="71">
        <f t="shared" si="56"/>
        <v>0.48319174485675281</v>
      </c>
      <c r="AD81" s="74">
        <f t="shared" si="67"/>
        <v>0.48319174485675281</v>
      </c>
      <c r="AE81" s="73">
        <f t="shared" si="76"/>
        <v>11.436363636363634</v>
      </c>
      <c r="AF81" s="71">
        <f t="shared" si="68"/>
        <v>12.918539247508241</v>
      </c>
      <c r="AG81" s="71">
        <f t="shared" si="57"/>
        <v>0.66755462515764319</v>
      </c>
      <c r="AH81" s="71">
        <f t="shared" si="58"/>
        <v>5.0044981050603585</v>
      </c>
      <c r="AI81" s="74">
        <f t="shared" si="69"/>
        <v>5.6720527302180015</v>
      </c>
      <c r="AJ81" s="73">
        <f t="shared" si="70"/>
        <v>2.96</v>
      </c>
      <c r="AK81" s="71">
        <f t="shared" si="59"/>
        <v>6.5722683328978739</v>
      </c>
      <c r="AL81" s="71">
        <f t="shared" si="60"/>
        <v>0.1727788441584488</v>
      </c>
      <c r="AM81" s="71">
        <f t="shared" si="71"/>
        <v>0</v>
      </c>
      <c r="AN81" s="188">
        <f t="shared" si="61"/>
        <v>0.20770963466440101</v>
      </c>
      <c r="AO81" s="74">
        <f t="shared" si="72"/>
        <v>0.38048847882284981</v>
      </c>
      <c r="AP81" s="73">
        <f t="shared" si="62"/>
        <v>0.31512505099353444</v>
      </c>
      <c r="AQ81" s="206">
        <f t="shared" si="63"/>
        <v>0.48319174485675281</v>
      </c>
      <c r="AR81" s="206">
        <f t="shared" si="64"/>
        <v>3.0218089420955812</v>
      </c>
      <c r="AS81" s="71">
        <f t="shared" si="65"/>
        <v>0.12000000000000001</v>
      </c>
      <c r="AT81" s="74">
        <f t="shared" si="66"/>
        <v>3.6299999999999995E-5</v>
      </c>
      <c r="AU81" s="73">
        <f t="shared" si="73"/>
        <v>10.475894991843472</v>
      </c>
      <c r="AV81" s="71">
        <f t="shared" si="74"/>
        <v>158.35999999999999</v>
      </c>
      <c r="AW81" s="74">
        <f t="shared" si="75"/>
        <v>93.795220505479861</v>
      </c>
    </row>
    <row r="82" spans="17:49" x14ac:dyDescent="0.25">
      <c r="Q82">
        <v>75</v>
      </c>
      <c r="R82" s="73">
        <f t="shared" si="49"/>
        <v>53.5</v>
      </c>
      <c r="S82" s="71">
        <f t="shared" si="50"/>
        <v>3</v>
      </c>
      <c r="T82" s="71">
        <f t="shared" si="51"/>
        <v>11</v>
      </c>
      <c r="U82" s="74">
        <f t="shared" si="52"/>
        <v>14.590909090909092</v>
      </c>
      <c r="V82" s="73">
        <f>IF(Variable_Management!$B$20=3,2,IF((S82*R82/T82)&lt;((T82*(1-(T82/R82)))/(2*Lm*Fsw)),1,2))</f>
        <v>2</v>
      </c>
      <c r="W82" s="71">
        <f t="shared" si="53"/>
        <v>0.79439252336448596</v>
      </c>
      <c r="X82" s="74">
        <f t="shared" si="54"/>
        <v>0.20560747663551404</v>
      </c>
      <c r="Y82" s="73">
        <f t="shared" si="55"/>
        <v>5.8255451713395638</v>
      </c>
      <c r="Z82" s="71">
        <f t="shared" si="77"/>
        <v>17.503681676578875</v>
      </c>
      <c r="AA82" s="71">
        <f t="shared" si="78"/>
        <v>14.687501812009534</v>
      </c>
      <c r="AB82" s="71">
        <v>0</v>
      </c>
      <c r="AC82" s="71">
        <f t="shared" si="56"/>
        <v>0.49616223179890173</v>
      </c>
      <c r="AD82" s="74">
        <f t="shared" si="67"/>
        <v>0.49616223179890173</v>
      </c>
      <c r="AE82" s="73">
        <f t="shared" si="76"/>
        <v>11.590909090909092</v>
      </c>
      <c r="AF82" s="71">
        <f t="shared" si="68"/>
        <v>13.090779485159784</v>
      </c>
      <c r="AG82" s="71">
        <f t="shared" si="57"/>
        <v>0.68547403011632102</v>
      </c>
      <c r="AH82" s="71">
        <f t="shared" si="58"/>
        <v>5.0721264578314447</v>
      </c>
      <c r="AI82" s="74">
        <f t="shared" si="69"/>
        <v>5.7576004879477658</v>
      </c>
      <c r="AJ82" s="73">
        <f t="shared" si="70"/>
        <v>3.0000000000000004</v>
      </c>
      <c r="AK82" s="71">
        <f t="shared" si="59"/>
        <v>6.6598950403668624</v>
      </c>
      <c r="AL82" s="71">
        <f t="shared" si="60"/>
        <v>0.17741680779481256</v>
      </c>
      <c r="AM82" s="71">
        <f t="shared" si="71"/>
        <v>0</v>
      </c>
      <c r="AN82" s="188">
        <f t="shared" si="61"/>
        <v>0.21004418011894652</v>
      </c>
      <c r="AO82" s="74">
        <f t="shared" si="72"/>
        <v>0.38746098791375905</v>
      </c>
      <c r="AP82" s="73">
        <f t="shared" si="62"/>
        <v>0.32358406421667502</v>
      </c>
      <c r="AQ82" s="206">
        <f t="shared" si="63"/>
        <v>0.49616223179890173</v>
      </c>
      <c r="AR82" s="206">
        <f t="shared" si="64"/>
        <v>3.0218089420955812</v>
      </c>
      <c r="AS82" s="71">
        <f t="shared" si="65"/>
        <v>0.12000000000000001</v>
      </c>
      <c r="AT82" s="74">
        <f t="shared" si="66"/>
        <v>3.6299999999999995E-5</v>
      </c>
      <c r="AU82" s="73">
        <f t="shared" si="73"/>
        <v>10.602815245771584</v>
      </c>
      <c r="AV82" s="71">
        <f t="shared" si="74"/>
        <v>160.5</v>
      </c>
      <c r="AW82" s="74">
        <f t="shared" si="75"/>
        <v>93.803249098770394</v>
      </c>
    </row>
    <row r="83" spans="17:49" x14ac:dyDescent="0.25">
      <c r="Q83">
        <v>76</v>
      </c>
      <c r="R83" s="73">
        <f t="shared" si="49"/>
        <v>53.5</v>
      </c>
      <c r="S83" s="71">
        <f t="shared" si="50"/>
        <v>3.04</v>
      </c>
      <c r="T83" s="71">
        <f t="shared" si="51"/>
        <v>11</v>
      </c>
      <c r="U83" s="74">
        <f t="shared" si="52"/>
        <v>14.785454545454547</v>
      </c>
      <c r="V83" s="73">
        <f>IF(Variable_Management!$B$20=3,2,IF((S83*R83/T83)&lt;((T83*(1-(T83/R83)))/(2*Lm*Fsw)),1,2))</f>
        <v>2</v>
      </c>
      <c r="W83" s="71">
        <f t="shared" si="53"/>
        <v>0.79439252336448596</v>
      </c>
      <c r="X83" s="74">
        <f t="shared" si="54"/>
        <v>0.20560747663551404</v>
      </c>
      <c r="Y83" s="73">
        <f t="shared" si="55"/>
        <v>5.8255451713395638</v>
      </c>
      <c r="Z83" s="71">
        <f t="shared" si="77"/>
        <v>17.69822713112433</v>
      </c>
      <c r="AA83" s="71">
        <f t="shared" si="78"/>
        <v>14.880784505338163</v>
      </c>
      <c r="AB83" s="71">
        <v>0</v>
      </c>
      <c r="AC83" s="71">
        <f t="shared" si="56"/>
        <v>0.50930681923691834</v>
      </c>
      <c r="AD83" s="74">
        <f t="shared" si="67"/>
        <v>0.50930681923691834</v>
      </c>
      <c r="AE83" s="73">
        <f t="shared" si="76"/>
        <v>11.745454545454546</v>
      </c>
      <c r="AF83" s="71">
        <f t="shared" si="68"/>
        <v>13.26304983780709</v>
      </c>
      <c r="AG83" s="71">
        <f t="shared" si="57"/>
        <v>0.70363396400061873</v>
      </c>
      <c r="AH83" s="71">
        <f t="shared" si="58"/>
        <v>5.1397548106025317</v>
      </c>
      <c r="AI83" s="74">
        <f t="shared" si="69"/>
        <v>5.8433887746031505</v>
      </c>
      <c r="AJ83" s="73">
        <f t="shared" si="70"/>
        <v>3.0400000000000005</v>
      </c>
      <c r="AK83" s="71">
        <f t="shared" si="59"/>
        <v>6.7475370687501739</v>
      </c>
      <c r="AL83" s="71">
        <f t="shared" si="60"/>
        <v>0.18211702597663074</v>
      </c>
      <c r="AM83" s="71">
        <f t="shared" si="71"/>
        <v>0</v>
      </c>
      <c r="AN83" s="188">
        <f t="shared" si="61"/>
        <v>0.21237872557349197</v>
      </c>
      <c r="AO83" s="74">
        <f t="shared" si="72"/>
        <v>0.39449575155012273</v>
      </c>
      <c r="AP83" s="73">
        <f t="shared" si="62"/>
        <v>0.3321566212414685</v>
      </c>
      <c r="AQ83" s="206">
        <f t="shared" si="63"/>
        <v>0.50930681923691834</v>
      </c>
      <c r="AR83" s="206">
        <f t="shared" si="64"/>
        <v>3.0218089420955812</v>
      </c>
      <c r="AS83" s="71">
        <f t="shared" si="65"/>
        <v>0.12000000000000001</v>
      </c>
      <c r="AT83" s="74">
        <f t="shared" si="66"/>
        <v>3.6299999999999995E-5</v>
      </c>
      <c r="AU83" s="73">
        <f t="shared" si="73"/>
        <v>10.730500027964158</v>
      </c>
      <c r="AV83" s="71">
        <f t="shared" si="74"/>
        <v>162.64000000000001</v>
      </c>
      <c r="AW83" s="74">
        <f t="shared" si="75"/>
        <v>93.810654046545778</v>
      </c>
    </row>
    <row r="84" spans="17:49" x14ac:dyDescent="0.25">
      <c r="Q84">
        <v>77</v>
      </c>
      <c r="R84" s="73">
        <f t="shared" si="49"/>
        <v>53.5</v>
      </c>
      <c r="S84" s="71">
        <f t="shared" si="50"/>
        <v>3.08</v>
      </c>
      <c r="T84" s="71">
        <f t="shared" si="51"/>
        <v>11</v>
      </c>
      <c r="U84" s="74">
        <f t="shared" si="52"/>
        <v>14.98</v>
      </c>
      <c r="V84" s="73">
        <f>IF(Variable_Management!$B$20=3,2,IF((S84*R84/T84)&lt;((T84*(1-(T84/R84)))/(2*Lm*Fsw)),1,2))</f>
        <v>2</v>
      </c>
      <c r="W84" s="71">
        <f t="shared" si="53"/>
        <v>0.79439252336448596</v>
      </c>
      <c r="X84" s="74">
        <f t="shared" si="54"/>
        <v>0.20560747663551404</v>
      </c>
      <c r="Y84" s="73">
        <f t="shared" si="55"/>
        <v>5.8255451713395638</v>
      </c>
      <c r="Z84" s="71">
        <f t="shared" si="77"/>
        <v>17.892772585669782</v>
      </c>
      <c r="AA84" s="71">
        <f t="shared" si="78"/>
        <v>15.074099687165726</v>
      </c>
      <c r="AB84" s="71">
        <v>0</v>
      </c>
      <c r="AC84" s="71">
        <f t="shared" si="56"/>
        <v>0.52262550717080258</v>
      </c>
      <c r="AD84" s="74">
        <f t="shared" si="67"/>
        <v>0.52262550717080258</v>
      </c>
      <c r="AE84" s="73">
        <f t="shared" si="76"/>
        <v>11.9</v>
      </c>
      <c r="AF84" s="71">
        <f t="shared" si="68"/>
        <v>13.435349147031271</v>
      </c>
      <c r="AG84" s="71">
        <f t="shared" si="57"/>
        <v>0.72203442681053565</v>
      </c>
      <c r="AH84" s="71">
        <f t="shared" si="58"/>
        <v>5.2073831633736178</v>
      </c>
      <c r="AI84" s="74">
        <f t="shared" si="69"/>
        <v>5.929417590184153</v>
      </c>
      <c r="AJ84" s="73">
        <f t="shared" si="70"/>
        <v>3.0800000000000005</v>
      </c>
      <c r="AK84" s="71">
        <f t="shared" si="59"/>
        <v>6.8351938287056537</v>
      </c>
      <c r="AL84" s="71">
        <f t="shared" si="60"/>
        <v>0.18687949870390341</v>
      </c>
      <c r="AM84" s="71">
        <f t="shared" si="71"/>
        <v>0</v>
      </c>
      <c r="AN84" s="188">
        <f t="shared" si="61"/>
        <v>0.21471327102803739</v>
      </c>
      <c r="AO84" s="74">
        <f t="shared" si="72"/>
        <v>0.4015927697319408</v>
      </c>
      <c r="AP84" s="73">
        <f t="shared" si="62"/>
        <v>0.34084272206791472</v>
      </c>
      <c r="AQ84" s="206">
        <f t="shared" si="63"/>
        <v>0.52262550717080258</v>
      </c>
      <c r="AR84" s="206">
        <f t="shared" si="64"/>
        <v>3.0218089420955812</v>
      </c>
      <c r="AS84" s="71">
        <f t="shared" si="65"/>
        <v>0.12000000000000001</v>
      </c>
      <c r="AT84" s="74">
        <f t="shared" si="66"/>
        <v>3.6299999999999995E-5</v>
      </c>
      <c r="AU84" s="73">
        <f t="shared" si="73"/>
        <v>10.858949338421194</v>
      </c>
      <c r="AV84" s="71">
        <f t="shared" si="74"/>
        <v>164.78</v>
      </c>
      <c r="AW84" s="74">
        <f t="shared" si="75"/>
        <v>93.81745940787988</v>
      </c>
    </row>
    <row r="85" spans="17:49" x14ac:dyDescent="0.25">
      <c r="Q85">
        <v>78</v>
      </c>
      <c r="R85" s="73">
        <f t="shared" si="49"/>
        <v>53.5</v>
      </c>
      <c r="S85" s="71">
        <f t="shared" si="50"/>
        <v>3.12</v>
      </c>
      <c r="T85" s="71">
        <f t="shared" si="51"/>
        <v>11</v>
      </c>
      <c r="U85" s="74">
        <f t="shared" si="52"/>
        <v>15.174545454545456</v>
      </c>
      <c r="V85" s="73">
        <f>IF(Variable_Management!$B$20=3,2,IF((S85*R85/T85)&lt;((T85*(1-(T85/R85)))/(2*Lm*Fsw)),1,2))</f>
        <v>2</v>
      </c>
      <c r="W85" s="71">
        <f t="shared" si="53"/>
        <v>0.79439252336448596</v>
      </c>
      <c r="X85" s="74">
        <f t="shared" si="54"/>
        <v>0.20560747663551404</v>
      </c>
      <c r="Y85" s="73">
        <f t="shared" si="55"/>
        <v>5.8255451713395638</v>
      </c>
      <c r="Z85" s="71">
        <f t="shared" si="77"/>
        <v>18.087318040215237</v>
      </c>
      <c r="AA85" s="71">
        <f t="shared" si="78"/>
        <v>15.267446123391952</v>
      </c>
      <c r="AB85" s="71">
        <v>0</v>
      </c>
      <c r="AC85" s="71">
        <f t="shared" si="56"/>
        <v>0.53611829560055468</v>
      </c>
      <c r="AD85" s="74">
        <f t="shared" si="67"/>
        <v>0.53611829560055468</v>
      </c>
      <c r="AE85" s="73">
        <f t="shared" si="76"/>
        <v>12.054545454545455</v>
      </c>
      <c r="AF85" s="71">
        <f t="shared" si="68"/>
        <v>13.607676312894801</v>
      </c>
      <c r="AG85" s="71">
        <f t="shared" si="57"/>
        <v>0.74067541854607311</v>
      </c>
      <c r="AH85" s="71">
        <f t="shared" si="58"/>
        <v>5.2750115161447031</v>
      </c>
      <c r="AI85" s="74">
        <f t="shared" si="69"/>
        <v>6.015686934690776</v>
      </c>
      <c r="AJ85" s="73">
        <f t="shared" si="70"/>
        <v>3.1200000000000006</v>
      </c>
      <c r="AK85" s="71">
        <f t="shared" si="59"/>
        <v>6.9228647606433622</v>
      </c>
      <c r="AL85" s="71">
        <f t="shared" si="60"/>
        <v>0.19170422597663073</v>
      </c>
      <c r="AM85" s="71">
        <f t="shared" si="71"/>
        <v>0</v>
      </c>
      <c r="AN85" s="188">
        <f t="shared" si="61"/>
        <v>0.21704781648258284</v>
      </c>
      <c r="AO85" s="74">
        <f t="shared" si="72"/>
        <v>0.40875204245921359</v>
      </c>
      <c r="AP85" s="73">
        <f t="shared" si="62"/>
        <v>0.3496423666960139</v>
      </c>
      <c r="AQ85" s="206">
        <f t="shared" si="63"/>
        <v>0.53611829560055468</v>
      </c>
      <c r="AR85" s="206">
        <f t="shared" si="64"/>
        <v>3.0218089420955812</v>
      </c>
      <c r="AS85" s="71">
        <f t="shared" si="65"/>
        <v>0.12000000000000001</v>
      </c>
      <c r="AT85" s="74">
        <f t="shared" si="66"/>
        <v>3.6299999999999995E-5</v>
      </c>
      <c r="AU85" s="73">
        <f t="shared" si="73"/>
        <v>10.988163177142694</v>
      </c>
      <c r="AV85" s="71">
        <f t="shared" si="74"/>
        <v>166.92000000000002</v>
      </c>
      <c r="AW85" s="74">
        <f t="shared" si="75"/>
        <v>93.823688030435221</v>
      </c>
    </row>
    <row r="86" spans="17:49" x14ac:dyDescent="0.25">
      <c r="Q86">
        <v>79</v>
      </c>
      <c r="R86" s="73">
        <f t="shared" si="49"/>
        <v>53.5</v>
      </c>
      <c r="S86" s="71">
        <f t="shared" si="50"/>
        <v>3.16</v>
      </c>
      <c r="T86" s="71">
        <f t="shared" si="51"/>
        <v>11</v>
      </c>
      <c r="U86" s="74">
        <f t="shared" si="52"/>
        <v>15.369090909090909</v>
      </c>
      <c r="V86" s="73">
        <f>IF(Variable_Management!$B$20=3,2,IF((S86*R86/T86)&lt;((T86*(1-(T86/R86)))/(2*Lm*Fsw)),1,2))</f>
        <v>2</v>
      </c>
      <c r="W86" s="71">
        <f t="shared" si="53"/>
        <v>0.79439252336448596</v>
      </c>
      <c r="X86" s="74">
        <f t="shared" si="54"/>
        <v>0.20560747663551404</v>
      </c>
      <c r="Y86" s="73">
        <f t="shared" si="55"/>
        <v>5.8255451713395638</v>
      </c>
      <c r="Z86" s="71">
        <f t="shared" si="77"/>
        <v>18.281863494760692</v>
      </c>
      <c r="AA86" s="71">
        <f t="shared" si="78"/>
        <v>15.460822641454453</v>
      </c>
      <c r="AB86" s="71">
        <v>0</v>
      </c>
      <c r="AC86" s="71">
        <f t="shared" si="56"/>
        <v>0.54978518452617442</v>
      </c>
      <c r="AD86" s="74">
        <f t="shared" si="67"/>
        <v>0.54978518452617442</v>
      </c>
      <c r="AE86" s="73">
        <f t="shared" si="76"/>
        <v>12.209090909090909</v>
      </c>
      <c r="AF86" s="71">
        <f t="shared" si="68"/>
        <v>13.780030290308057</v>
      </c>
      <c r="AG86" s="71">
        <f t="shared" si="57"/>
        <v>0.75955693920723011</v>
      </c>
      <c r="AH86" s="71">
        <f t="shared" si="58"/>
        <v>5.3426398689157883</v>
      </c>
      <c r="AI86" s="74">
        <f t="shared" si="69"/>
        <v>6.1021968081230185</v>
      </c>
      <c r="AJ86" s="73">
        <f t="shared" si="70"/>
        <v>3.16</v>
      </c>
      <c r="AK86" s="71">
        <f t="shared" si="59"/>
        <v>7.0105493328770709</v>
      </c>
      <c r="AL86" s="71">
        <f t="shared" si="60"/>
        <v>0.19659120779481259</v>
      </c>
      <c r="AM86" s="71">
        <f t="shared" si="71"/>
        <v>0</v>
      </c>
      <c r="AN86" s="188">
        <f t="shared" si="61"/>
        <v>0.21938236193712832</v>
      </c>
      <c r="AO86" s="74">
        <f t="shared" si="72"/>
        <v>0.41597356973194088</v>
      </c>
      <c r="AP86" s="73">
        <f t="shared" si="62"/>
        <v>0.35855555512576592</v>
      </c>
      <c r="AQ86" s="206">
        <f t="shared" si="63"/>
        <v>0.54978518452617442</v>
      </c>
      <c r="AR86" s="206">
        <f t="shared" si="64"/>
        <v>3.0218089420955812</v>
      </c>
      <c r="AS86" s="71">
        <f t="shared" si="65"/>
        <v>0.12000000000000001</v>
      </c>
      <c r="AT86" s="74">
        <f t="shared" si="66"/>
        <v>3.6299999999999995E-5</v>
      </c>
      <c r="AU86" s="73">
        <f t="shared" si="73"/>
        <v>11.118141544128655</v>
      </c>
      <c r="AV86" s="71">
        <f t="shared" si="74"/>
        <v>169.06</v>
      </c>
      <c r="AW86" s="74">
        <f t="shared" si="75"/>
        <v>93.829361625752114</v>
      </c>
    </row>
    <row r="87" spans="17:49" x14ac:dyDescent="0.25">
      <c r="Q87">
        <v>80</v>
      </c>
      <c r="R87" s="73">
        <f t="shared" si="49"/>
        <v>53.5</v>
      </c>
      <c r="S87" s="71">
        <f t="shared" si="50"/>
        <v>3.2</v>
      </c>
      <c r="T87" s="71">
        <f t="shared" si="51"/>
        <v>11</v>
      </c>
      <c r="U87" s="74">
        <f t="shared" si="52"/>
        <v>15.563636363636364</v>
      </c>
      <c r="V87" s="73">
        <f>IF(Variable_Management!$B$20=3,2,IF((S87*R87/T87)&lt;((T87*(1-(T87/R87)))/(2*Lm*Fsw)),1,2))</f>
        <v>2</v>
      </c>
      <c r="W87" s="71">
        <f t="shared" si="53"/>
        <v>0.79439252336448596</v>
      </c>
      <c r="X87" s="74">
        <f t="shared" si="54"/>
        <v>0.20560747663551404</v>
      </c>
      <c r="Y87" s="73">
        <f t="shared" si="55"/>
        <v>5.8255451713395638</v>
      </c>
      <c r="Z87" s="71">
        <f t="shared" si="77"/>
        <v>18.476408949306148</v>
      </c>
      <c r="AA87" s="71">
        <f t="shared" si="78"/>
        <v>15.654228126551432</v>
      </c>
      <c r="AB87" s="71">
        <v>0</v>
      </c>
      <c r="AC87" s="71">
        <f t="shared" si="56"/>
        <v>0.56362617394766212</v>
      </c>
      <c r="AD87" s="74">
        <f t="shared" si="67"/>
        <v>0.56362617394766212</v>
      </c>
      <c r="AE87" s="73">
        <f t="shared" si="76"/>
        <v>12.363636363636363</v>
      </c>
      <c r="AF87" s="71">
        <f t="shared" si="68"/>
        <v>13.952410085662684</v>
      </c>
      <c r="AG87" s="71">
        <f t="shared" si="57"/>
        <v>0.77867898879400721</v>
      </c>
      <c r="AH87" s="71">
        <f t="shared" si="58"/>
        <v>5.4102682216868745</v>
      </c>
      <c r="AI87" s="74">
        <f t="shared" si="69"/>
        <v>6.1889472104808814</v>
      </c>
      <c r="AJ87" s="73">
        <f t="shared" si="70"/>
        <v>3.2000000000000006</v>
      </c>
      <c r="AK87" s="71">
        <f t="shared" si="59"/>
        <v>7.0982470399114908</v>
      </c>
      <c r="AL87" s="71">
        <f t="shared" si="60"/>
        <v>0.20154044415844896</v>
      </c>
      <c r="AM87" s="71">
        <f t="shared" si="71"/>
        <v>0</v>
      </c>
      <c r="AN87" s="188">
        <f t="shared" si="61"/>
        <v>0.22171690739167377</v>
      </c>
      <c r="AO87" s="74">
        <f t="shared" si="72"/>
        <v>0.42325735155012273</v>
      </c>
      <c r="AP87" s="73">
        <f t="shared" si="62"/>
        <v>0.36758228735717091</v>
      </c>
      <c r="AQ87" s="206">
        <f t="shared" si="63"/>
        <v>0.56362617394766212</v>
      </c>
      <c r="AR87" s="206">
        <f t="shared" si="64"/>
        <v>3.0218089420955812</v>
      </c>
      <c r="AS87" s="71">
        <f t="shared" si="65"/>
        <v>0.12000000000000001</v>
      </c>
      <c r="AT87" s="74">
        <f t="shared" si="66"/>
        <v>3.6299999999999995E-5</v>
      </c>
      <c r="AU87" s="73">
        <f t="shared" si="73"/>
        <v>11.248884439379079</v>
      </c>
      <c r="AV87" s="71">
        <f t="shared" si="74"/>
        <v>171.20000000000002</v>
      </c>
      <c r="AW87" s="74">
        <f t="shared" si="75"/>
        <v>93.834500838991602</v>
      </c>
    </row>
    <row r="88" spans="17:49" x14ac:dyDescent="0.25">
      <c r="Q88">
        <v>81</v>
      </c>
      <c r="R88" s="73">
        <f t="shared" si="49"/>
        <v>53.5</v>
      </c>
      <c r="S88" s="71">
        <f t="shared" si="50"/>
        <v>3.24</v>
      </c>
      <c r="T88" s="71">
        <f t="shared" si="51"/>
        <v>11</v>
      </c>
      <c r="U88" s="74">
        <f t="shared" si="52"/>
        <v>15.758181818181818</v>
      </c>
      <c r="V88" s="73">
        <f>IF(Variable_Management!$B$20=3,2,IF((S88*R88/T88)&lt;((T88*(1-(T88/R88)))/(2*Lm*Fsw)),1,2))</f>
        <v>2</v>
      </c>
      <c r="W88" s="71">
        <f t="shared" si="53"/>
        <v>0.79439252336448596</v>
      </c>
      <c r="X88" s="74">
        <f t="shared" si="54"/>
        <v>0.20560747663551404</v>
      </c>
      <c r="Y88" s="73">
        <f t="shared" si="55"/>
        <v>5.8255451713395638</v>
      </c>
      <c r="Z88" s="71">
        <f t="shared" si="77"/>
        <v>18.670954403851599</v>
      </c>
      <c r="AA88" s="71">
        <f t="shared" si="78"/>
        <v>15.847661518138436</v>
      </c>
      <c r="AB88" s="71">
        <v>0</v>
      </c>
      <c r="AC88" s="71">
        <f t="shared" si="56"/>
        <v>0.57764126386501746</v>
      </c>
      <c r="AD88" s="74">
        <f t="shared" si="67"/>
        <v>0.57764126386501746</v>
      </c>
      <c r="AE88" s="73">
        <f t="shared" si="76"/>
        <v>12.518181818181818</v>
      </c>
      <c r="AF88" s="71">
        <f t="shared" si="68"/>
        <v>14.124814753709193</v>
      </c>
      <c r="AG88" s="71">
        <f t="shared" si="57"/>
        <v>0.79804156730640363</v>
      </c>
      <c r="AH88" s="71">
        <f t="shared" si="58"/>
        <v>5.4778965744579606</v>
      </c>
      <c r="AI88" s="74">
        <f t="shared" si="69"/>
        <v>6.2759381417643638</v>
      </c>
      <c r="AJ88" s="73">
        <f t="shared" si="70"/>
        <v>3.24</v>
      </c>
      <c r="AK88" s="71">
        <f t="shared" si="59"/>
        <v>7.185957400853761</v>
      </c>
      <c r="AL88" s="71">
        <f t="shared" si="60"/>
        <v>0.20655193506753977</v>
      </c>
      <c r="AM88" s="71">
        <f t="shared" si="71"/>
        <v>0</v>
      </c>
      <c r="AN88" s="188">
        <f t="shared" si="61"/>
        <v>0.22405145284621919</v>
      </c>
      <c r="AO88" s="74">
        <f t="shared" si="72"/>
        <v>0.43060338791375896</v>
      </c>
      <c r="AP88" s="73">
        <f t="shared" si="62"/>
        <v>0.37672256339022875</v>
      </c>
      <c r="AQ88" s="206">
        <f t="shared" si="63"/>
        <v>0.57764126386501746</v>
      </c>
      <c r="AR88" s="206">
        <f t="shared" si="64"/>
        <v>3.0218089420955812</v>
      </c>
      <c r="AS88" s="71">
        <f t="shared" si="65"/>
        <v>0.12000000000000001</v>
      </c>
      <c r="AT88" s="74">
        <f t="shared" si="66"/>
        <v>3.6299999999999995E-5</v>
      </c>
      <c r="AU88" s="73">
        <f t="shared" si="73"/>
        <v>11.380391862893966</v>
      </c>
      <c r="AV88" s="71">
        <f t="shared" si="74"/>
        <v>173.34</v>
      </c>
      <c r="AW88" s="74">
        <f t="shared" si="75"/>
        <v>93.839125313603219</v>
      </c>
    </row>
    <row r="89" spans="17:49" x14ac:dyDescent="0.25">
      <c r="Q89">
        <v>82</v>
      </c>
      <c r="R89" s="73">
        <f t="shared" si="49"/>
        <v>53.5</v>
      </c>
      <c r="S89" s="71">
        <f t="shared" si="50"/>
        <v>3.2800000000000002</v>
      </c>
      <c r="T89" s="71">
        <f t="shared" si="51"/>
        <v>11</v>
      </c>
      <c r="U89" s="74">
        <f t="shared" si="52"/>
        <v>15.952727272727275</v>
      </c>
      <c r="V89" s="73">
        <f>IF(Variable_Management!$B$20=3,2,IF((S89*R89/T89)&lt;((T89*(1-(T89/R89)))/(2*Lm*Fsw)),1,2))</f>
        <v>2</v>
      </c>
      <c r="W89" s="71">
        <f t="shared" si="53"/>
        <v>0.79439252336448596</v>
      </c>
      <c r="X89" s="74">
        <f t="shared" si="54"/>
        <v>0.20560747663551404</v>
      </c>
      <c r="Y89" s="73">
        <f t="shared" si="55"/>
        <v>5.8255451713395638</v>
      </c>
      <c r="Z89" s="71">
        <f t="shared" si="77"/>
        <v>18.865499858397058</v>
      </c>
      <c r="AA89" s="71">
        <f t="shared" si="78"/>
        <v>16.041121806676315</v>
      </c>
      <c r="AB89" s="71">
        <v>0</v>
      </c>
      <c r="AC89" s="71">
        <f t="shared" si="56"/>
        <v>0.59183045427824077</v>
      </c>
      <c r="AD89" s="74">
        <f t="shared" si="67"/>
        <v>0.59183045427824077</v>
      </c>
      <c r="AE89" s="73">
        <f t="shared" si="76"/>
        <v>12.672727272727274</v>
      </c>
      <c r="AF89" s="71">
        <f t="shared" si="68"/>
        <v>14.297243394658464</v>
      </c>
      <c r="AG89" s="71">
        <f t="shared" si="57"/>
        <v>0.81764467474442026</v>
      </c>
      <c r="AH89" s="71">
        <f t="shared" si="58"/>
        <v>5.5455249272290477</v>
      </c>
      <c r="AI89" s="74">
        <f t="shared" si="69"/>
        <v>6.3631696019734676</v>
      </c>
      <c r="AJ89" s="73">
        <f t="shared" si="70"/>
        <v>3.2800000000000007</v>
      </c>
      <c r="AK89" s="71">
        <f t="shared" si="59"/>
        <v>7.2736799579388514</v>
      </c>
      <c r="AL89" s="71">
        <f t="shared" si="60"/>
        <v>0.21162568052208533</v>
      </c>
      <c r="AM89" s="71">
        <f t="shared" si="71"/>
        <v>0</v>
      </c>
      <c r="AN89" s="188">
        <f t="shared" si="61"/>
        <v>0.2263859983007647</v>
      </c>
      <c r="AO89" s="74">
        <f t="shared" si="72"/>
        <v>0.43801167882285003</v>
      </c>
      <c r="AP89" s="73">
        <f t="shared" si="62"/>
        <v>0.38597638322493966</v>
      </c>
      <c r="AQ89" s="206">
        <f t="shared" si="63"/>
        <v>0.59183045427824077</v>
      </c>
      <c r="AR89" s="206">
        <f t="shared" si="64"/>
        <v>3.0218089420955812</v>
      </c>
      <c r="AS89" s="71">
        <f t="shared" si="65"/>
        <v>0.12000000000000001</v>
      </c>
      <c r="AT89" s="74">
        <f t="shared" si="66"/>
        <v>3.6299999999999995E-5</v>
      </c>
      <c r="AU89" s="73">
        <f t="shared" si="73"/>
        <v>11.512663814673321</v>
      </c>
      <c r="AV89" s="71">
        <f t="shared" si="74"/>
        <v>175.48000000000002</v>
      </c>
      <c r="AW89" s="74">
        <f t="shared" si="75"/>
        <v>93.843253751343198</v>
      </c>
    </row>
    <row r="90" spans="17:49" x14ac:dyDescent="0.25">
      <c r="Q90">
        <v>83</v>
      </c>
      <c r="R90" s="73">
        <f t="shared" si="49"/>
        <v>53.5</v>
      </c>
      <c r="S90" s="71">
        <f t="shared" si="50"/>
        <v>3.3200000000000003</v>
      </c>
      <c r="T90" s="71">
        <f t="shared" si="51"/>
        <v>11</v>
      </c>
      <c r="U90" s="74">
        <f t="shared" si="52"/>
        <v>16.147272727272728</v>
      </c>
      <c r="V90" s="73">
        <f>IF(Variable_Management!$B$20=3,2,IF((S90*R90/T90)&lt;((T90*(1-(T90/R90)))/(2*Lm*Fsw)),1,2))</f>
        <v>2</v>
      </c>
      <c r="W90" s="71">
        <f t="shared" si="53"/>
        <v>0.79439252336448596</v>
      </c>
      <c r="X90" s="74">
        <f t="shared" si="54"/>
        <v>0.20560747663551404</v>
      </c>
      <c r="Y90" s="73">
        <f t="shared" si="55"/>
        <v>5.8255451713395638</v>
      </c>
      <c r="Z90" s="71">
        <f t="shared" si="77"/>
        <v>19.06004531294251</v>
      </c>
      <c r="AA90" s="71">
        <f t="shared" si="78"/>
        <v>16.234608030609653</v>
      </c>
      <c r="AB90" s="71">
        <v>0</v>
      </c>
      <c r="AC90" s="71">
        <f t="shared" si="56"/>
        <v>0.60619374518733149</v>
      </c>
      <c r="AD90" s="74">
        <f t="shared" si="67"/>
        <v>0.60619374518733149</v>
      </c>
      <c r="AE90" s="73">
        <f t="shared" si="76"/>
        <v>12.827272727272728</v>
      </c>
      <c r="AF90" s="71">
        <f t="shared" si="68"/>
        <v>14.469695151488649</v>
      </c>
      <c r="AG90" s="71">
        <f t="shared" si="57"/>
        <v>0.83748831110805644</v>
      </c>
      <c r="AH90" s="71">
        <f t="shared" si="58"/>
        <v>5.6131532800001329</v>
      </c>
      <c r="AI90" s="74">
        <f t="shared" si="69"/>
        <v>6.4506415911081891</v>
      </c>
      <c r="AJ90" s="73">
        <f t="shared" si="70"/>
        <v>3.3200000000000007</v>
      </c>
      <c r="AK90" s="71">
        <f t="shared" si="59"/>
        <v>7.3614142751594489</v>
      </c>
      <c r="AL90" s="71">
        <f t="shared" si="60"/>
        <v>0.21676168052208528</v>
      </c>
      <c r="AM90" s="71">
        <f t="shared" si="71"/>
        <v>0</v>
      </c>
      <c r="AN90" s="188">
        <f t="shared" si="61"/>
        <v>0.22872054375531012</v>
      </c>
      <c r="AO90" s="74">
        <f t="shared" si="72"/>
        <v>0.44548222427739537</v>
      </c>
      <c r="AP90" s="73">
        <f t="shared" si="62"/>
        <v>0.39534374686130314</v>
      </c>
      <c r="AQ90" s="206">
        <f t="shared" si="63"/>
        <v>0.60619374518733149</v>
      </c>
      <c r="AR90" s="206">
        <f t="shared" si="64"/>
        <v>3.0218089420955812</v>
      </c>
      <c r="AS90" s="71">
        <f t="shared" si="65"/>
        <v>0.12000000000000001</v>
      </c>
      <c r="AT90" s="74">
        <f t="shared" si="66"/>
        <v>3.6299999999999995E-5</v>
      </c>
      <c r="AU90" s="73">
        <f t="shared" si="73"/>
        <v>11.64570029471713</v>
      </c>
      <c r="AV90" s="71">
        <f t="shared" si="74"/>
        <v>177.62</v>
      </c>
      <c r="AW90" s="74">
        <f t="shared" si="75"/>
        <v>93.846903968028599</v>
      </c>
    </row>
    <row r="91" spans="17:49" x14ac:dyDescent="0.25">
      <c r="Q91">
        <v>84</v>
      </c>
      <c r="R91" s="73">
        <f t="shared" si="49"/>
        <v>53.5</v>
      </c>
      <c r="S91" s="71">
        <f t="shared" si="50"/>
        <v>3.36</v>
      </c>
      <c r="T91" s="71">
        <f t="shared" si="51"/>
        <v>11</v>
      </c>
      <c r="U91" s="74">
        <f t="shared" si="52"/>
        <v>16.34181818181818</v>
      </c>
      <c r="V91" s="73">
        <f>IF(Variable_Management!$B$20=3,2,IF((S91*R91/T91)&lt;((T91*(1-(T91/R91)))/(2*Lm*Fsw)),1,2))</f>
        <v>2</v>
      </c>
      <c r="W91" s="71">
        <f t="shared" si="53"/>
        <v>0.79439252336448596</v>
      </c>
      <c r="X91" s="74">
        <f t="shared" si="54"/>
        <v>0.20560747663551404</v>
      </c>
      <c r="Y91" s="73">
        <f t="shared" si="55"/>
        <v>5.8255451713395638</v>
      </c>
      <c r="Z91" s="71">
        <f t="shared" si="77"/>
        <v>19.254590767487962</v>
      </c>
      <c r="AA91" s="71">
        <f t="shared" si="78"/>
        <v>16.428119273556941</v>
      </c>
      <c r="AB91" s="71">
        <v>0</v>
      </c>
      <c r="AC91" s="71">
        <f t="shared" si="56"/>
        <v>0.62073113659228996</v>
      </c>
      <c r="AD91" s="74">
        <f t="shared" si="67"/>
        <v>0.62073113659228996</v>
      </c>
      <c r="AE91" s="73">
        <f t="shared" si="76"/>
        <v>12.981818181818181</v>
      </c>
      <c r="AF91" s="71">
        <f t="shared" si="68"/>
        <v>14.642169207440817</v>
      </c>
      <c r="AG91" s="71">
        <f t="shared" si="57"/>
        <v>0.85757247639731227</v>
      </c>
      <c r="AH91" s="71">
        <f t="shared" si="58"/>
        <v>5.6807816327712173</v>
      </c>
      <c r="AI91" s="74">
        <f t="shared" si="69"/>
        <v>6.5383541091685293</v>
      </c>
      <c r="AJ91" s="73">
        <f t="shared" si="70"/>
        <v>3.36</v>
      </c>
      <c r="AK91" s="71">
        <f t="shared" si="59"/>
        <v>7.4491599369918831</v>
      </c>
      <c r="AL91" s="71">
        <f t="shared" si="60"/>
        <v>0.22195993506753964</v>
      </c>
      <c r="AM91" s="71">
        <f t="shared" si="71"/>
        <v>0</v>
      </c>
      <c r="AN91" s="188">
        <f t="shared" si="61"/>
        <v>0.23105508920985554</v>
      </c>
      <c r="AO91" s="74">
        <f t="shared" si="72"/>
        <v>0.45301502427739515</v>
      </c>
      <c r="AP91" s="73">
        <f t="shared" si="62"/>
        <v>0.40482465429931958</v>
      </c>
      <c r="AQ91" s="206">
        <f t="shared" si="63"/>
        <v>0.62073113659228996</v>
      </c>
      <c r="AR91" s="206">
        <f t="shared" si="64"/>
        <v>3.0218089420955812</v>
      </c>
      <c r="AS91" s="71">
        <f t="shared" si="65"/>
        <v>0.12000000000000001</v>
      </c>
      <c r="AT91" s="74">
        <f t="shared" si="66"/>
        <v>3.6299999999999995E-5</v>
      </c>
      <c r="AU91" s="73">
        <f t="shared" si="73"/>
        <v>11.779501303025405</v>
      </c>
      <c r="AV91" s="71">
        <f t="shared" si="74"/>
        <v>179.76</v>
      </c>
      <c r="AW91" s="74">
        <f t="shared" si="75"/>
        <v>93.850092945376517</v>
      </c>
    </row>
    <row r="92" spans="17:49" x14ac:dyDescent="0.25">
      <c r="Q92">
        <v>85</v>
      </c>
      <c r="R92" s="73">
        <f t="shared" si="49"/>
        <v>53.5</v>
      </c>
      <c r="S92" s="71">
        <f t="shared" si="50"/>
        <v>3.4</v>
      </c>
      <c r="T92" s="71">
        <f t="shared" si="51"/>
        <v>11</v>
      </c>
      <c r="U92" s="74">
        <f t="shared" si="52"/>
        <v>16.536363636363635</v>
      </c>
      <c r="V92" s="73">
        <f>IF(Variable_Management!$B$20=3,2,IF((S92*R92/T92)&lt;((T92*(1-(T92/R92)))/(2*Lm*Fsw)),1,2))</f>
        <v>2</v>
      </c>
      <c r="W92" s="71">
        <f t="shared" si="53"/>
        <v>0.79439252336448596</v>
      </c>
      <c r="X92" s="74">
        <f t="shared" si="54"/>
        <v>0.20560747663551404</v>
      </c>
      <c r="Y92" s="73">
        <f t="shared" si="55"/>
        <v>5.8255451713395638</v>
      </c>
      <c r="Z92" s="71">
        <f t="shared" si="77"/>
        <v>19.449136222033417</v>
      </c>
      <c r="AA92" s="71">
        <f t="shared" si="78"/>
        <v>16.621654661695366</v>
      </c>
      <c r="AB92" s="71">
        <v>0</v>
      </c>
      <c r="AC92" s="71">
        <f t="shared" si="56"/>
        <v>0.63544262849311639</v>
      </c>
      <c r="AD92" s="74">
        <f t="shared" si="67"/>
        <v>0.63544262849311639</v>
      </c>
      <c r="AE92" s="73">
        <f t="shared" si="76"/>
        <v>13.136363636363635</v>
      </c>
      <c r="AF92" s="71">
        <f t="shared" si="68"/>
        <v>14.814664783688059</v>
      </c>
      <c r="AG92" s="71">
        <f t="shared" si="57"/>
        <v>0.87789717061218875</v>
      </c>
      <c r="AH92" s="71">
        <f t="shared" si="58"/>
        <v>5.7484099855423043</v>
      </c>
      <c r="AI92" s="74">
        <f t="shared" si="69"/>
        <v>6.6263071561544926</v>
      </c>
      <c r="AJ92" s="73">
        <f t="shared" si="70"/>
        <v>3.4000000000000004</v>
      </c>
      <c r="AK92" s="71">
        <f t="shared" si="59"/>
        <v>7.5369165472102848</v>
      </c>
      <c r="AL92" s="71">
        <f t="shared" si="60"/>
        <v>0.2272204441584488</v>
      </c>
      <c r="AM92" s="71">
        <f t="shared" si="71"/>
        <v>0</v>
      </c>
      <c r="AN92" s="188">
        <f t="shared" si="61"/>
        <v>0.23338963466440102</v>
      </c>
      <c r="AO92" s="74">
        <f t="shared" si="72"/>
        <v>0.46061007882284982</v>
      </c>
      <c r="AP92" s="73">
        <f t="shared" si="62"/>
        <v>0.41441910553898892</v>
      </c>
      <c r="AQ92" s="206">
        <f t="shared" si="63"/>
        <v>0.63544262849311639</v>
      </c>
      <c r="AR92" s="206">
        <f t="shared" si="64"/>
        <v>3.0218089420955812</v>
      </c>
      <c r="AS92" s="71">
        <f t="shared" si="65"/>
        <v>0.12000000000000001</v>
      </c>
      <c r="AT92" s="74">
        <f t="shared" si="66"/>
        <v>3.6299999999999995E-5</v>
      </c>
      <c r="AU92" s="73">
        <f t="shared" si="73"/>
        <v>11.914066839598146</v>
      </c>
      <c r="AV92" s="71">
        <f t="shared" si="74"/>
        <v>181.9</v>
      </c>
      <c r="AW92" s="74">
        <f t="shared" si="75"/>
        <v>93.852836879245544</v>
      </c>
    </row>
    <row r="93" spans="17:49" x14ac:dyDescent="0.25">
      <c r="Q93">
        <v>86</v>
      </c>
      <c r="R93" s="73">
        <f t="shared" si="49"/>
        <v>53.5</v>
      </c>
      <c r="S93" s="71">
        <f t="shared" si="50"/>
        <v>3.44</v>
      </c>
      <c r="T93" s="71">
        <f t="shared" si="51"/>
        <v>11</v>
      </c>
      <c r="U93" s="74">
        <f t="shared" si="52"/>
        <v>16.730909090909091</v>
      </c>
      <c r="V93" s="73">
        <f>IF(Variable_Management!$B$20=3,2,IF((S93*R93/T93)&lt;((T93*(1-(T93/R93)))/(2*Lm*Fsw)),1,2))</f>
        <v>2</v>
      </c>
      <c r="W93" s="71">
        <f t="shared" si="53"/>
        <v>0.79439252336448596</v>
      </c>
      <c r="X93" s="74">
        <f t="shared" si="54"/>
        <v>0.20560747663551404</v>
      </c>
      <c r="Y93" s="73">
        <f t="shared" si="55"/>
        <v>5.8255451713395638</v>
      </c>
      <c r="Z93" s="71">
        <f t="shared" si="77"/>
        <v>19.643681676578872</v>
      </c>
      <c r="AA93" s="71">
        <f t="shared" si="78"/>
        <v>16.815213361324744</v>
      </c>
      <c r="AB93" s="71">
        <v>0</v>
      </c>
      <c r="AC93" s="71">
        <f t="shared" si="56"/>
        <v>0.65032822088981068</v>
      </c>
      <c r="AD93" s="74">
        <f t="shared" si="67"/>
        <v>0.65032822088981068</v>
      </c>
      <c r="AE93" s="73">
        <f t="shared" si="76"/>
        <v>13.290909090909091</v>
      </c>
      <c r="AF93" s="71">
        <f t="shared" si="68"/>
        <v>14.987181137164225</v>
      </c>
      <c r="AG93" s="71">
        <f t="shared" si="57"/>
        <v>0.89846239375268455</v>
      </c>
      <c r="AH93" s="71">
        <f t="shared" si="58"/>
        <v>5.8160383383133905</v>
      </c>
      <c r="AI93" s="74">
        <f t="shared" si="69"/>
        <v>6.7145007320660746</v>
      </c>
      <c r="AJ93" s="73">
        <f t="shared" si="70"/>
        <v>3.4400000000000004</v>
      </c>
      <c r="AK93" s="71">
        <f t="shared" si="59"/>
        <v>7.6246837277819681</v>
      </c>
      <c r="AL93" s="71">
        <f t="shared" si="60"/>
        <v>0.23254320779481252</v>
      </c>
      <c r="AM93" s="71">
        <f t="shared" si="71"/>
        <v>0</v>
      </c>
      <c r="AN93" s="188">
        <f t="shared" si="61"/>
        <v>0.23572418011894647</v>
      </c>
      <c r="AO93" s="74">
        <f t="shared" si="72"/>
        <v>0.46826738791375899</v>
      </c>
      <c r="AP93" s="73">
        <f t="shared" si="62"/>
        <v>0.42412710058031128</v>
      </c>
      <c r="AQ93" s="206">
        <f t="shared" si="63"/>
        <v>0.65032822088981068</v>
      </c>
      <c r="AR93" s="206">
        <f t="shared" si="64"/>
        <v>3.0218089420955812</v>
      </c>
      <c r="AS93" s="71">
        <f t="shared" si="65"/>
        <v>0.12000000000000001</v>
      </c>
      <c r="AT93" s="74">
        <f t="shared" si="66"/>
        <v>3.6299999999999995E-5</v>
      </c>
      <c r="AU93" s="73">
        <f t="shared" si="73"/>
        <v>12.049396904435348</v>
      </c>
      <c r="AV93" s="71">
        <f t="shared" si="74"/>
        <v>184.04</v>
      </c>
      <c r="AW93" s="74">
        <f t="shared" si="75"/>
        <v>93.855151224567408</v>
      </c>
    </row>
    <row r="94" spans="17:49" x14ac:dyDescent="0.25">
      <c r="Q94">
        <v>87</v>
      </c>
      <c r="R94" s="73">
        <f t="shared" si="49"/>
        <v>53.5</v>
      </c>
      <c r="S94" s="71">
        <f t="shared" si="50"/>
        <v>3.48</v>
      </c>
      <c r="T94" s="71">
        <f t="shared" si="51"/>
        <v>11</v>
      </c>
      <c r="U94" s="74">
        <f t="shared" si="52"/>
        <v>16.925454545454546</v>
      </c>
      <c r="V94" s="73">
        <f>IF(Variable_Management!$B$20=3,2,IF((S94*R94/T94)&lt;((T94*(1-(T94/R94)))/(2*Lm*Fsw)),1,2))</f>
        <v>2</v>
      </c>
      <c r="W94" s="71">
        <f t="shared" si="53"/>
        <v>0.79439252336448596</v>
      </c>
      <c r="X94" s="74">
        <f t="shared" si="54"/>
        <v>0.20560747663551404</v>
      </c>
      <c r="Y94" s="73">
        <f t="shared" si="55"/>
        <v>5.8255451713395638</v>
      </c>
      <c r="Z94" s="71">
        <f t="shared" si="77"/>
        <v>19.838227131124327</v>
      </c>
      <c r="AA94" s="71">
        <f t="shared" si="78"/>
        <v>17.008794576596475</v>
      </c>
      <c r="AB94" s="71">
        <v>0</v>
      </c>
      <c r="AC94" s="71">
        <f t="shared" si="56"/>
        <v>0.66538791378237261</v>
      </c>
      <c r="AD94" s="74">
        <f t="shared" si="67"/>
        <v>0.66538791378237261</v>
      </c>
      <c r="AE94" s="73">
        <f t="shared" si="76"/>
        <v>13.445454545454545</v>
      </c>
      <c r="AF94" s="71">
        <f t="shared" si="68"/>
        <v>15.159717558539805</v>
      </c>
      <c r="AG94" s="71">
        <f t="shared" si="57"/>
        <v>0.91926814581880023</v>
      </c>
      <c r="AH94" s="71">
        <f t="shared" si="58"/>
        <v>5.8836666910844757</v>
      </c>
      <c r="AI94" s="74">
        <f t="shared" si="69"/>
        <v>6.8029348369032761</v>
      </c>
      <c r="AJ94" s="73">
        <f t="shared" si="70"/>
        <v>3.4800000000000004</v>
      </c>
      <c r="AK94" s="71">
        <f t="shared" si="59"/>
        <v>7.7124611178376563</v>
      </c>
      <c r="AL94" s="71">
        <f t="shared" si="60"/>
        <v>0.23792822597663069</v>
      </c>
      <c r="AM94" s="71">
        <f t="shared" si="71"/>
        <v>0</v>
      </c>
      <c r="AN94" s="188">
        <f t="shared" si="61"/>
        <v>0.23805872557349192</v>
      </c>
      <c r="AO94" s="74">
        <f t="shared" si="72"/>
        <v>0.47598695155012261</v>
      </c>
      <c r="AP94" s="73">
        <f t="shared" si="62"/>
        <v>0.43394863942328649</v>
      </c>
      <c r="AQ94" s="206">
        <f t="shared" si="63"/>
        <v>0.66538791378237261</v>
      </c>
      <c r="AR94" s="206">
        <f t="shared" si="64"/>
        <v>3.0218089420955812</v>
      </c>
      <c r="AS94" s="71">
        <f t="shared" si="65"/>
        <v>0.12000000000000001</v>
      </c>
      <c r="AT94" s="74">
        <f t="shared" si="66"/>
        <v>3.6299999999999995E-5</v>
      </c>
      <c r="AU94" s="73">
        <f t="shared" si="73"/>
        <v>12.185491497537011</v>
      </c>
      <c r="AV94" s="71">
        <f t="shared" si="74"/>
        <v>186.18</v>
      </c>
      <c r="AW94" s="74">
        <f t="shared" si="75"/>
        <v>93.857050737230523</v>
      </c>
    </row>
    <row r="95" spans="17:49" x14ac:dyDescent="0.25">
      <c r="Q95">
        <v>88</v>
      </c>
      <c r="R95" s="73">
        <f t="shared" si="49"/>
        <v>53.5</v>
      </c>
      <c r="S95" s="71">
        <f t="shared" si="50"/>
        <v>3.52</v>
      </c>
      <c r="T95" s="71">
        <f t="shared" si="51"/>
        <v>11</v>
      </c>
      <c r="U95" s="74">
        <f t="shared" si="52"/>
        <v>17.12</v>
      </c>
      <c r="V95" s="73">
        <f>IF(Variable_Management!$B$20=3,2,IF((S95*R95/T95)&lt;((T95*(1-(T95/R95)))/(2*Lm*Fsw)),1,2))</f>
        <v>2</v>
      </c>
      <c r="W95" s="71">
        <f t="shared" si="53"/>
        <v>0.79439252336448596</v>
      </c>
      <c r="X95" s="74">
        <f t="shared" si="54"/>
        <v>0.20560747663551404</v>
      </c>
      <c r="Y95" s="73">
        <f t="shared" si="55"/>
        <v>5.8255451713395638</v>
      </c>
      <c r="Z95" s="71">
        <f t="shared" si="77"/>
        <v>20.032772585669782</v>
      </c>
      <c r="AA95" s="71">
        <f t="shared" si="78"/>
        <v>17.202397547394661</v>
      </c>
      <c r="AB95" s="71">
        <v>0</v>
      </c>
      <c r="AC95" s="71">
        <f t="shared" si="56"/>
        <v>0.68062170717080261</v>
      </c>
      <c r="AD95" s="74">
        <f t="shared" si="67"/>
        <v>0.68062170717080261</v>
      </c>
      <c r="AE95" s="73">
        <f t="shared" si="76"/>
        <v>13.6</v>
      </c>
      <c r="AF95" s="71">
        <f t="shared" si="68"/>
        <v>15.332273370333377</v>
      </c>
      <c r="AG95" s="71">
        <f t="shared" si="57"/>
        <v>0.94031442681053601</v>
      </c>
      <c r="AH95" s="71">
        <f t="shared" si="58"/>
        <v>5.9512950438555627</v>
      </c>
      <c r="AI95" s="74">
        <f t="shared" si="69"/>
        <v>6.8916094706660989</v>
      </c>
      <c r="AJ95" s="73">
        <f t="shared" si="70"/>
        <v>3.5200000000000005</v>
      </c>
      <c r="AK95" s="71">
        <f t="shared" si="59"/>
        <v>7.8002483727106968</v>
      </c>
      <c r="AL95" s="71">
        <f t="shared" si="60"/>
        <v>0.24337549870390351</v>
      </c>
      <c r="AM95" s="71">
        <f t="shared" si="71"/>
        <v>0</v>
      </c>
      <c r="AN95" s="188">
        <f t="shared" si="61"/>
        <v>0.2403932710280374</v>
      </c>
      <c r="AO95" s="74">
        <f t="shared" si="72"/>
        <v>0.48376876973194094</v>
      </c>
      <c r="AP95" s="73">
        <f t="shared" si="62"/>
        <v>0.44388372206791482</v>
      </c>
      <c r="AQ95" s="206">
        <f t="shared" si="63"/>
        <v>0.68062170717080261</v>
      </c>
      <c r="AR95" s="206">
        <f t="shared" si="64"/>
        <v>3.0218089420955812</v>
      </c>
      <c r="AS95" s="71">
        <f t="shared" si="65"/>
        <v>0.12000000000000001</v>
      </c>
      <c r="AT95" s="74">
        <f t="shared" si="66"/>
        <v>3.6299999999999995E-5</v>
      </c>
      <c r="AU95" s="73">
        <f t="shared" si="73"/>
        <v>12.32235061890314</v>
      </c>
      <c r="AV95" s="71">
        <f t="shared" si="74"/>
        <v>188.32</v>
      </c>
      <c r="AW95" s="74">
        <f t="shared" si="75"/>
        <v>93.858549513154372</v>
      </c>
    </row>
    <row r="96" spans="17:49" x14ac:dyDescent="0.25">
      <c r="Q96">
        <v>89</v>
      </c>
      <c r="R96" s="73">
        <f t="shared" si="49"/>
        <v>53.5</v>
      </c>
      <c r="S96" s="71">
        <f t="shared" si="50"/>
        <v>3.56</v>
      </c>
      <c r="T96" s="71">
        <f t="shared" si="51"/>
        <v>11</v>
      </c>
      <c r="U96" s="74">
        <f t="shared" si="52"/>
        <v>17.314545454545456</v>
      </c>
      <c r="V96" s="73">
        <f>IF(Variable_Management!$B$20=3,2,IF((S96*R96/T96)&lt;((T96*(1-(T96/R96)))/(2*Lm*Fsw)),1,2))</f>
        <v>2</v>
      </c>
      <c r="W96" s="71">
        <f t="shared" si="53"/>
        <v>0.79439252336448596</v>
      </c>
      <c r="X96" s="74">
        <f t="shared" si="54"/>
        <v>0.20560747663551404</v>
      </c>
      <c r="Y96" s="73">
        <f t="shared" si="55"/>
        <v>5.8255451713395638</v>
      </c>
      <c r="Z96" s="71">
        <f t="shared" si="77"/>
        <v>20.227318040215238</v>
      </c>
      <c r="AA96" s="71">
        <f t="shared" si="78"/>
        <v>17.396021547357616</v>
      </c>
      <c r="AB96" s="71">
        <v>0</v>
      </c>
      <c r="AC96" s="71">
        <f t="shared" si="56"/>
        <v>0.69602960105510014</v>
      </c>
      <c r="AD96" s="74">
        <f t="shared" si="67"/>
        <v>0.69602960105510014</v>
      </c>
      <c r="AE96" s="73">
        <f t="shared" si="76"/>
        <v>13.754545454545456</v>
      </c>
      <c r="AF96" s="71">
        <f t="shared" si="68"/>
        <v>15.504847925148214</v>
      </c>
      <c r="AG96" s="71">
        <f t="shared" si="57"/>
        <v>0.96160123672789155</v>
      </c>
      <c r="AH96" s="71">
        <f t="shared" si="58"/>
        <v>6.018923396626648</v>
      </c>
      <c r="AI96" s="74">
        <f t="shared" si="69"/>
        <v>6.9805246333545394</v>
      </c>
      <c r="AJ96" s="73">
        <f t="shared" si="70"/>
        <v>3.5600000000000009</v>
      </c>
      <c r="AK96" s="71">
        <f t="shared" si="59"/>
        <v>7.8880451630399335</v>
      </c>
      <c r="AL96" s="71">
        <f t="shared" si="60"/>
        <v>0.24888502597663079</v>
      </c>
      <c r="AM96" s="71">
        <f t="shared" si="71"/>
        <v>0</v>
      </c>
      <c r="AN96" s="188">
        <f t="shared" si="61"/>
        <v>0.24272781648258285</v>
      </c>
      <c r="AO96" s="74">
        <f t="shared" si="72"/>
        <v>0.49161284245921366</v>
      </c>
      <c r="AP96" s="73">
        <f t="shared" si="62"/>
        <v>0.45393234851419578</v>
      </c>
      <c r="AQ96" s="206">
        <f t="shared" si="63"/>
        <v>0.69602960105510014</v>
      </c>
      <c r="AR96" s="206">
        <f t="shared" si="64"/>
        <v>3.0218089420955812</v>
      </c>
      <c r="AS96" s="71">
        <f t="shared" si="65"/>
        <v>0.12000000000000001</v>
      </c>
      <c r="AT96" s="74">
        <f t="shared" si="66"/>
        <v>3.6299999999999995E-5</v>
      </c>
      <c r="AU96" s="73">
        <f t="shared" si="73"/>
        <v>12.459974268533728</v>
      </c>
      <c r="AV96" s="71">
        <f t="shared" si="74"/>
        <v>190.46</v>
      </c>
      <c r="AW96" s="74">
        <f t="shared" si="75"/>
        <v>93.859661024771839</v>
      </c>
    </row>
    <row r="97" spans="17:49" x14ac:dyDescent="0.25">
      <c r="Q97">
        <v>90</v>
      </c>
      <c r="R97" s="73">
        <f t="shared" si="49"/>
        <v>53.5</v>
      </c>
      <c r="S97" s="71">
        <f t="shared" si="50"/>
        <v>3.6</v>
      </c>
      <c r="T97" s="71">
        <f t="shared" si="51"/>
        <v>11</v>
      </c>
      <c r="U97" s="74">
        <f t="shared" si="52"/>
        <v>17.509090909090908</v>
      </c>
      <c r="V97" s="73">
        <f>IF(Variable_Management!$B$20=3,2,IF((S97*R97/T97)&lt;((T97*(1-(T97/R97)))/(2*Lm*Fsw)),1,2))</f>
        <v>2</v>
      </c>
      <c r="W97" s="71">
        <f t="shared" si="53"/>
        <v>0.79439252336448596</v>
      </c>
      <c r="X97" s="74">
        <f t="shared" si="54"/>
        <v>0.20560747663551404</v>
      </c>
      <c r="Y97" s="73">
        <f t="shared" si="55"/>
        <v>5.8255451713395638</v>
      </c>
      <c r="Z97" s="71">
        <f t="shared" si="77"/>
        <v>20.421863494760689</v>
      </c>
      <c r="AA97" s="71">
        <f t="shared" si="78"/>
        <v>17.589665882029131</v>
      </c>
      <c r="AB97" s="71">
        <v>0</v>
      </c>
      <c r="AC97" s="71">
        <f t="shared" si="56"/>
        <v>0.7116115954352652</v>
      </c>
      <c r="AD97" s="74">
        <f t="shared" si="67"/>
        <v>0.7116115954352652</v>
      </c>
      <c r="AE97" s="73">
        <f t="shared" si="76"/>
        <v>13.909090909090908</v>
      </c>
      <c r="AF97" s="71">
        <f t="shared" si="68"/>
        <v>15.677440604024516</v>
      </c>
      <c r="AG97" s="71">
        <f t="shared" si="57"/>
        <v>0.98312857557086641</v>
      </c>
      <c r="AH97" s="71">
        <f t="shared" si="58"/>
        <v>6.0865517493977332</v>
      </c>
      <c r="AI97" s="74">
        <f t="shared" si="69"/>
        <v>7.0696803249685995</v>
      </c>
      <c r="AJ97" s="73">
        <f t="shared" si="70"/>
        <v>3.6</v>
      </c>
      <c r="AK97" s="71">
        <f t="shared" si="59"/>
        <v>7.9758511739314146</v>
      </c>
      <c r="AL97" s="71">
        <f t="shared" si="60"/>
        <v>0.2544568077948125</v>
      </c>
      <c r="AM97" s="71">
        <f t="shared" si="71"/>
        <v>0</v>
      </c>
      <c r="AN97" s="188">
        <f t="shared" si="61"/>
        <v>0.24506236193712827</v>
      </c>
      <c r="AO97" s="74">
        <f t="shared" si="72"/>
        <v>0.49951916973194077</v>
      </c>
      <c r="AP97" s="73">
        <f t="shared" si="62"/>
        <v>0.46409451876212948</v>
      </c>
      <c r="AQ97" s="206">
        <f t="shared" si="63"/>
        <v>0.7116115954352652</v>
      </c>
      <c r="AR97" s="206">
        <f t="shared" si="64"/>
        <v>3.0218089420955812</v>
      </c>
      <c r="AS97" s="71">
        <f t="shared" si="65"/>
        <v>0.12000000000000001</v>
      </c>
      <c r="AT97" s="74">
        <f t="shared" si="66"/>
        <v>3.6299999999999995E-5</v>
      </c>
      <c r="AU97" s="73">
        <f t="shared" si="73"/>
        <v>12.59836244642878</v>
      </c>
      <c r="AV97" s="71">
        <f t="shared" si="74"/>
        <v>192.6</v>
      </c>
      <c r="AW97" s="74">
        <f t="shared" si="75"/>
        <v>93.860398155117906</v>
      </c>
    </row>
    <row r="98" spans="17:49" x14ac:dyDescent="0.25">
      <c r="Q98">
        <v>91</v>
      </c>
      <c r="R98" s="73">
        <f t="shared" si="49"/>
        <v>53.5</v>
      </c>
      <c r="S98" s="71">
        <f t="shared" si="50"/>
        <v>3.64</v>
      </c>
      <c r="T98" s="71">
        <f t="shared" si="51"/>
        <v>11</v>
      </c>
      <c r="U98" s="74">
        <f t="shared" si="52"/>
        <v>17.703636363636363</v>
      </c>
      <c r="V98" s="73">
        <f>IF(Variable_Management!$B$20=3,2,IF((S98*R98/T98)&lt;((T98*(1-(T98/R98)))/(2*Lm*Fsw)),1,2))</f>
        <v>2</v>
      </c>
      <c r="W98" s="71">
        <f t="shared" si="53"/>
        <v>0.79439252336448596</v>
      </c>
      <c r="X98" s="74">
        <f t="shared" si="54"/>
        <v>0.20560747663551404</v>
      </c>
      <c r="Y98" s="73">
        <f t="shared" si="55"/>
        <v>5.8255451713395638</v>
      </c>
      <c r="Z98" s="71">
        <f t="shared" si="77"/>
        <v>20.616408949306145</v>
      </c>
      <c r="AA98" s="71">
        <f t="shared" si="78"/>
        <v>17.783329887129621</v>
      </c>
      <c r="AB98" s="71">
        <v>0</v>
      </c>
      <c r="AC98" s="71">
        <f t="shared" si="56"/>
        <v>0.72736769031129855</v>
      </c>
      <c r="AD98" s="74">
        <f t="shared" si="67"/>
        <v>0.72736769031129855</v>
      </c>
      <c r="AE98" s="73">
        <f t="shared" si="76"/>
        <v>14.063636363636363</v>
      </c>
      <c r="AF98" s="71">
        <f t="shared" si="68"/>
        <v>15.850050814898522</v>
      </c>
      <c r="AG98" s="71">
        <f t="shared" si="57"/>
        <v>1.0048964433394612</v>
      </c>
      <c r="AH98" s="71">
        <f t="shared" si="58"/>
        <v>6.1541801021688194</v>
      </c>
      <c r="AI98" s="74">
        <f t="shared" si="69"/>
        <v>7.159076545508281</v>
      </c>
      <c r="AJ98" s="73">
        <f t="shared" si="70"/>
        <v>3.64</v>
      </c>
      <c r="AK98" s="71">
        <f t="shared" si="59"/>
        <v>8.0636661041744659</v>
      </c>
      <c r="AL98" s="71">
        <f t="shared" si="60"/>
        <v>0.2600908441584488</v>
      </c>
      <c r="AM98" s="71">
        <f t="shared" si="71"/>
        <v>0</v>
      </c>
      <c r="AN98" s="188">
        <f t="shared" si="61"/>
        <v>0.24739690739167375</v>
      </c>
      <c r="AO98" s="74">
        <f t="shared" si="72"/>
        <v>0.5074877515501226</v>
      </c>
      <c r="AP98" s="73">
        <f t="shared" si="62"/>
        <v>0.47437023281171647</v>
      </c>
      <c r="AQ98" s="206">
        <f t="shared" si="63"/>
        <v>0.72736769031129855</v>
      </c>
      <c r="AR98" s="206">
        <f t="shared" si="64"/>
        <v>3.0218089420955812</v>
      </c>
      <c r="AS98" s="71">
        <f t="shared" si="65"/>
        <v>0.12000000000000001</v>
      </c>
      <c r="AT98" s="74">
        <f t="shared" si="66"/>
        <v>3.6299999999999995E-5</v>
      </c>
      <c r="AU98" s="73">
        <f t="shared" si="73"/>
        <v>12.737515152588298</v>
      </c>
      <c r="AV98" s="71">
        <f t="shared" si="74"/>
        <v>194.74</v>
      </c>
      <c r="AW98" s="74">
        <f t="shared" si="75"/>
        <v>93.860773229706098</v>
      </c>
    </row>
    <row r="99" spans="17:49" x14ac:dyDescent="0.25">
      <c r="Q99">
        <v>92</v>
      </c>
      <c r="R99" s="73">
        <f t="shared" si="49"/>
        <v>53.5</v>
      </c>
      <c r="S99" s="71">
        <f t="shared" si="50"/>
        <v>3.68</v>
      </c>
      <c r="T99" s="71">
        <f t="shared" si="51"/>
        <v>11</v>
      </c>
      <c r="U99" s="74">
        <f t="shared" si="52"/>
        <v>17.898181818181818</v>
      </c>
      <c r="V99" s="73">
        <f>IF(Variable_Management!$B$20=3,2,IF((S99*R99/T99)&lt;((T99*(1-(T99/R99)))/(2*Lm*Fsw)),1,2))</f>
        <v>2</v>
      </c>
      <c r="W99" s="71">
        <f t="shared" si="53"/>
        <v>0.79439252336448596</v>
      </c>
      <c r="X99" s="74">
        <f t="shared" si="54"/>
        <v>0.20560747663551404</v>
      </c>
      <c r="Y99" s="73">
        <f t="shared" si="55"/>
        <v>5.8255451713395638</v>
      </c>
      <c r="Z99" s="71">
        <f t="shared" si="77"/>
        <v>20.8109544038516</v>
      </c>
      <c r="AA99" s="71">
        <f t="shared" si="78"/>
        <v>17.977012926938222</v>
      </c>
      <c r="AB99" s="71">
        <v>0</v>
      </c>
      <c r="AC99" s="71">
        <f t="shared" si="56"/>
        <v>0.7432978856831991</v>
      </c>
      <c r="AD99" s="74">
        <f t="shared" si="67"/>
        <v>0.7432978856831991</v>
      </c>
      <c r="AE99" s="73">
        <f t="shared" si="76"/>
        <v>14.218181818181819</v>
      </c>
      <c r="AF99" s="71">
        <f t="shared" si="68"/>
        <v>16.022677991160499</v>
      </c>
      <c r="AG99" s="71">
        <f t="shared" si="57"/>
        <v>1.0269048400336762</v>
      </c>
      <c r="AH99" s="71">
        <f t="shared" si="58"/>
        <v>6.2218084549399064</v>
      </c>
      <c r="AI99" s="74">
        <f t="shared" si="69"/>
        <v>7.2487132949735829</v>
      </c>
      <c r="AJ99" s="73">
        <f t="shared" si="70"/>
        <v>3.6800000000000006</v>
      </c>
      <c r="AK99" s="71">
        <f t="shared" si="59"/>
        <v>8.1514896655080751</v>
      </c>
      <c r="AL99" s="71">
        <f t="shared" si="60"/>
        <v>0.26578713506753981</v>
      </c>
      <c r="AM99" s="71">
        <f t="shared" si="71"/>
        <v>0</v>
      </c>
      <c r="AN99" s="188">
        <f t="shared" si="61"/>
        <v>0.2497314528462192</v>
      </c>
      <c r="AO99" s="74">
        <f t="shared" si="72"/>
        <v>0.51551858791375904</v>
      </c>
      <c r="AP99" s="73">
        <f t="shared" si="62"/>
        <v>0.48475949066295593</v>
      </c>
      <c r="AQ99" s="206">
        <f t="shared" si="63"/>
        <v>0.7432978856831991</v>
      </c>
      <c r="AR99" s="206">
        <f t="shared" si="64"/>
        <v>3.0218089420955812</v>
      </c>
      <c r="AS99" s="71">
        <f t="shared" si="65"/>
        <v>0.12000000000000001</v>
      </c>
      <c r="AT99" s="74">
        <f t="shared" si="66"/>
        <v>3.6299999999999995E-5</v>
      </c>
      <c r="AU99" s="73">
        <f t="shared" si="73"/>
        <v>12.877432387012277</v>
      </c>
      <c r="AV99" s="71">
        <f t="shared" si="74"/>
        <v>196.88</v>
      </c>
      <c r="AW99" s="74">
        <f t="shared" si="75"/>
        <v>93.860798046358227</v>
      </c>
    </row>
    <row r="100" spans="17:49" x14ac:dyDescent="0.25">
      <c r="Q100">
        <v>93</v>
      </c>
      <c r="R100" s="73">
        <f t="shared" si="49"/>
        <v>53.5</v>
      </c>
      <c r="S100" s="71">
        <f t="shared" si="50"/>
        <v>3.72</v>
      </c>
      <c r="T100" s="71">
        <f t="shared" si="51"/>
        <v>11</v>
      </c>
      <c r="U100" s="74">
        <f t="shared" si="52"/>
        <v>18.092727272727274</v>
      </c>
      <c r="V100" s="73">
        <f>IF(Variable_Management!$B$20=3,2,IF((S100*R100/T100)&lt;((T100*(1-(T100/R100)))/(2*Lm*Fsw)),1,2))</f>
        <v>2</v>
      </c>
      <c r="W100" s="71">
        <f t="shared" si="53"/>
        <v>0.79439252336448596</v>
      </c>
      <c r="X100" s="74">
        <f t="shared" si="54"/>
        <v>0.20560747663551404</v>
      </c>
      <c r="Y100" s="73">
        <f t="shared" si="55"/>
        <v>5.8255451713395638</v>
      </c>
      <c r="Z100" s="71">
        <f t="shared" si="77"/>
        <v>21.005499858397055</v>
      </c>
      <c r="AA100" s="71">
        <f t="shared" si="78"/>
        <v>18.170714392777711</v>
      </c>
      <c r="AB100" s="71">
        <v>0</v>
      </c>
      <c r="AC100" s="71">
        <f t="shared" si="56"/>
        <v>0.75940218155096784</v>
      </c>
      <c r="AD100" s="74">
        <f t="shared" si="67"/>
        <v>0.75940218155096784</v>
      </c>
      <c r="AE100" s="73">
        <f t="shared" si="76"/>
        <v>14.372727272727273</v>
      </c>
      <c r="AF100" s="71">
        <f t="shared" si="68"/>
        <v>16.195321590304335</v>
      </c>
      <c r="AG100" s="71">
        <f t="shared" si="57"/>
        <v>1.0491537656535108</v>
      </c>
      <c r="AH100" s="71">
        <f t="shared" si="58"/>
        <v>6.2894368077109917</v>
      </c>
      <c r="AI100" s="74">
        <f t="shared" si="69"/>
        <v>7.3385905733645025</v>
      </c>
      <c r="AJ100" s="73">
        <f t="shared" si="70"/>
        <v>3.7200000000000006</v>
      </c>
      <c r="AK100" s="71">
        <f t="shared" si="59"/>
        <v>8.2393215819338739</v>
      </c>
      <c r="AL100" s="71">
        <f t="shared" si="60"/>
        <v>0.27154568052208528</v>
      </c>
      <c r="AM100" s="71">
        <f t="shared" si="71"/>
        <v>0</v>
      </c>
      <c r="AN100" s="188">
        <f t="shared" si="61"/>
        <v>0.25206599830076465</v>
      </c>
      <c r="AO100" s="74">
        <f t="shared" si="72"/>
        <v>0.52361167882284998</v>
      </c>
      <c r="AP100" s="73">
        <f t="shared" si="62"/>
        <v>0.49526229231584862</v>
      </c>
      <c r="AQ100" s="206">
        <f t="shared" si="63"/>
        <v>0.75940218155096784</v>
      </c>
      <c r="AR100" s="206">
        <f t="shared" si="64"/>
        <v>3.0218089420955812</v>
      </c>
      <c r="AS100" s="71">
        <f t="shared" si="65"/>
        <v>0.12000000000000001</v>
      </c>
      <c r="AT100" s="74">
        <f t="shared" si="66"/>
        <v>3.6299999999999995E-5</v>
      </c>
      <c r="AU100" s="73">
        <f t="shared" si="73"/>
        <v>13.018114149700718</v>
      </c>
      <c r="AV100" s="71">
        <f t="shared" si="74"/>
        <v>199.02</v>
      </c>
      <c r="AW100" s="74">
        <f t="shared" si="75"/>
        <v>93.860483903139311</v>
      </c>
    </row>
    <row r="101" spans="17:49" x14ac:dyDescent="0.25">
      <c r="Q101">
        <v>94</v>
      </c>
      <c r="R101" s="73">
        <f t="shared" si="49"/>
        <v>53.5</v>
      </c>
      <c r="S101" s="71">
        <f t="shared" si="50"/>
        <v>3.7600000000000002</v>
      </c>
      <c r="T101" s="71">
        <f t="shared" si="51"/>
        <v>11</v>
      </c>
      <c r="U101" s="74">
        <f t="shared" si="52"/>
        <v>18.287272727272729</v>
      </c>
      <c r="V101" s="73">
        <f>IF(Variable_Management!$B$20=3,2,IF((S101*R101/T101)&lt;((T101*(1-(T101/R101)))/(2*Lm*Fsw)),1,2))</f>
        <v>2</v>
      </c>
      <c r="W101" s="71">
        <f t="shared" si="53"/>
        <v>0.79439252336448596</v>
      </c>
      <c r="X101" s="74">
        <f t="shared" si="54"/>
        <v>0.20560747663551404</v>
      </c>
      <c r="Y101" s="73">
        <f t="shared" si="55"/>
        <v>5.8255451713395638</v>
      </c>
      <c r="Z101" s="71">
        <f t="shared" si="77"/>
        <v>21.20004531294251</v>
      </c>
      <c r="AA101" s="71">
        <f t="shared" si="78"/>
        <v>18.364433701594578</v>
      </c>
      <c r="AB101" s="71">
        <v>0</v>
      </c>
      <c r="AC101" s="71">
        <f t="shared" si="56"/>
        <v>0.77568057791460421</v>
      </c>
      <c r="AD101" s="74">
        <f t="shared" si="67"/>
        <v>0.77568057791460421</v>
      </c>
      <c r="AE101" s="73">
        <f t="shared" si="76"/>
        <v>14.527272727272727</v>
      </c>
      <c r="AF101" s="71">
        <f t="shared" si="68"/>
        <v>16.367981092662021</v>
      </c>
      <c r="AG101" s="71">
        <f t="shared" si="57"/>
        <v>1.0716432201989656</v>
      </c>
      <c r="AH101" s="71">
        <f t="shared" si="58"/>
        <v>6.3570651604820778</v>
      </c>
      <c r="AI101" s="74">
        <f t="shared" si="69"/>
        <v>7.4287083806810434</v>
      </c>
      <c r="AJ101" s="73">
        <f t="shared" si="70"/>
        <v>3.7600000000000007</v>
      </c>
      <c r="AK101" s="71">
        <f t="shared" si="59"/>
        <v>8.327161589072313</v>
      </c>
      <c r="AL101" s="71">
        <f t="shared" si="60"/>
        <v>0.27736648052208535</v>
      </c>
      <c r="AM101" s="71">
        <f t="shared" si="71"/>
        <v>0</v>
      </c>
      <c r="AN101" s="188">
        <f t="shared" si="61"/>
        <v>0.25440054375531013</v>
      </c>
      <c r="AO101" s="74">
        <f t="shared" si="72"/>
        <v>0.53176702427739553</v>
      </c>
      <c r="AP101" s="73">
        <f t="shared" si="62"/>
        <v>0.5058786377703941</v>
      </c>
      <c r="AQ101" s="206">
        <f t="shared" si="63"/>
        <v>0.77568057791460421</v>
      </c>
      <c r="AR101" s="206">
        <f t="shared" si="64"/>
        <v>3.0218089420955812</v>
      </c>
      <c r="AS101" s="71">
        <f t="shared" si="65"/>
        <v>0.12000000000000001</v>
      </c>
      <c r="AT101" s="74">
        <f t="shared" si="66"/>
        <v>3.6299999999999995E-5</v>
      </c>
      <c r="AU101" s="73">
        <f t="shared" si="73"/>
        <v>13.159560440653621</v>
      </c>
      <c r="AV101" s="71">
        <f t="shared" si="74"/>
        <v>201.16000000000003</v>
      </c>
      <c r="AW101" s="74">
        <f t="shared" si="75"/>
        <v>93.859841624536372</v>
      </c>
    </row>
    <row r="102" spans="17:49" x14ac:dyDescent="0.25">
      <c r="Q102">
        <v>95</v>
      </c>
      <c r="R102" s="73">
        <f t="shared" si="49"/>
        <v>53.5</v>
      </c>
      <c r="S102" s="71">
        <f t="shared" si="50"/>
        <v>3.8000000000000003</v>
      </c>
      <c r="T102" s="71">
        <f t="shared" si="51"/>
        <v>11</v>
      </c>
      <c r="U102" s="74">
        <f t="shared" si="52"/>
        <v>18.481818181818184</v>
      </c>
      <c r="V102" s="73">
        <f>IF(Variable_Management!$B$20=3,2,IF((S102*R102/T102)&lt;((T102*(1-(T102/R102)))/(2*Lm*Fsw)),1,2))</f>
        <v>2</v>
      </c>
      <c r="W102" s="71">
        <f t="shared" si="53"/>
        <v>0.79439252336448596</v>
      </c>
      <c r="X102" s="74">
        <f t="shared" si="54"/>
        <v>0.20560747663551404</v>
      </c>
      <c r="Y102" s="73">
        <f t="shared" si="55"/>
        <v>5.8255451713395638</v>
      </c>
      <c r="Z102" s="71">
        <f t="shared" si="77"/>
        <v>21.394590767487966</v>
      </c>
      <c r="AA102" s="71">
        <f t="shared" si="78"/>
        <v>18.558170294627512</v>
      </c>
      <c r="AB102" s="71">
        <v>0</v>
      </c>
      <c r="AC102" s="71">
        <f t="shared" si="56"/>
        <v>0.79213307477410844</v>
      </c>
      <c r="AD102" s="74">
        <f t="shared" si="67"/>
        <v>0.79213307477410844</v>
      </c>
      <c r="AE102" s="73">
        <f t="shared" si="76"/>
        <v>14.681818181818183</v>
      </c>
      <c r="AF102" s="71">
        <f t="shared" si="68"/>
        <v>16.54065600021686</v>
      </c>
      <c r="AG102" s="71">
        <f t="shared" si="57"/>
        <v>1.0943732036700402</v>
      </c>
      <c r="AH102" s="71">
        <f t="shared" si="58"/>
        <v>6.4246935132531648</v>
      </c>
      <c r="AI102" s="74">
        <f t="shared" si="69"/>
        <v>7.5190667169232048</v>
      </c>
      <c r="AJ102" s="73">
        <f t="shared" si="70"/>
        <v>3.8000000000000007</v>
      </c>
      <c r="AK102" s="71">
        <f t="shared" si="59"/>
        <v>8.4150094335588808</v>
      </c>
      <c r="AL102" s="71">
        <f t="shared" si="60"/>
        <v>0.2832495350675398</v>
      </c>
      <c r="AM102" s="71">
        <f t="shared" si="71"/>
        <v>0</v>
      </c>
      <c r="AN102" s="188">
        <f t="shared" si="61"/>
        <v>0.2567350892098556</v>
      </c>
      <c r="AO102" s="74">
        <f t="shared" si="72"/>
        <v>0.53998462427739535</v>
      </c>
      <c r="AP102" s="73">
        <f t="shared" si="62"/>
        <v>0.51660852702659255</v>
      </c>
      <c r="AQ102" s="206">
        <f t="shared" si="63"/>
        <v>0.79213307477410844</v>
      </c>
      <c r="AR102" s="206">
        <f t="shared" si="64"/>
        <v>3.0218089420955812</v>
      </c>
      <c r="AS102" s="71">
        <f t="shared" si="65"/>
        <v>0.12000000000000001</v>
      </c>
      <c r="AT102" s="74">
        <f t="shared" si="66"/>
        <v>3.6299999999999995E-5</v>
      </c>
      <c r="AU102" s="73">
        <f t="shared" si="73"/>
        <v>13.301771259870989</v>
      </c>
      <c r="AV102" s="71">
        <f t="shared" si="74"/>
        <v>203.3</v>
      </c>
      <c r="AW102" s="74">
        <f t="shared" si="75"/>
        <v>93.85888158600882</v>
      </c>
    </row>
    <row r="103" spans="17:49" x14ac:dyDescent="0.25">
      <c r="Q103">
        <v>96</v>
      </c>
      <c r="R103" s="73">
        <f t="shared" si="49"/>
        <v>53.5</v>
      </c>
      <c r="S103" s="71">
        <f t="shared" ref="S103:S134" si="79">Q103*$O$12</f>
        <v>3.84</v>
      </c>
      <c r="T103" s="71">
        <f t="shared" si="51"/>
        <v>11</v>
      </c>
      <c r="U103" s="74">
        <f t="shared" ref="U103:U134" si="80">(R103*S103)/(T103*EFF_est)</f>
        <v>18.676363636363636</v>
      </c>
      <c r="V103" s="73">
        <f>IF(Variable_Management!$B$20=3,2,IF((S103*R103/T103)&lt;((T103*(1-(T103/R103)))/(2*Lm*Fsw)),1,2))</f>
        <v>2</v>
      </c>
      <c r="W103" s="71">
        <f t="shared" ref="W103:W134" si="81">CHOOSE(V103,SQRT((2*S103*Lm*Fsw*(R103-T103))/((T103)^2)),1-(T103/R103))</f>
        <v>0.79439252336448596</v>
      </c>
      <c r="X103" s="74">
        <f t="shared" ref="X103:X134" si="82">CHOOSE(V103,(Lm*Z103*Fsw)/(R103-T103),1-W103)</f>
        <v>0.20560747663551404</v>
      </c>
      <c r="Y103" s="73">
        <f t="shared" ref="Y103:Y134" si="83">(T103*W103)/(Lm*Fsw)</f>
        <v>5.8255451713395638</v>
      </c>
      <c r="Z103" s="71">
        <f t="shared" si="77"/>
        <v>21.589136222033417</v>
      </c>
      <c r="AA103" s="71">
        <f t="shared" si="78"/>
        <v>18.751923636157859</v>
      </c>
      <c r="AB103" s="71">
        <v>0</v>
      </c>
      <c r="AC103" s="71">
        <f t="shared" ref="AC103:AC134" si="84">(AA103^2)*Rdcr</f>
        <v>0.8087596721294803</v>
      </c>
      <c r="AD103" s="74">
        <f t="shared" si="67"/>
        <v>0.8087596721294803</v>
      </c>
      <c r="AE103" s="73">
        <f t="shared" si="76"/>
        <v>14.836363636363636</v>
      </c>
      <c r="AF103" s="71">
        <f t="shared" si="68"/>
        <v>16.713345835489779</v>
      </c>
      <c r="AG103" s="71">
        <f t="shared" ref="AG103:AG134" si="85">(AF103^2)*RDS_on</f>
        <v>1.1173437160667343</v>
      </c>
      <c r="AH103" s="71">
        <f t="shared" ref="AH103:AH134" si="86">((R103*U103)/2)*Fsw*(tr_sw+tf_sw)</f>
        <v>6.4923218660242492</v>
      </c>
      <c r="AI103" s="74">
        <f t="shared" si="69"/>
        <v>7.6096655820909831</v>
      </c>
      <c r="AJ103" s="73">
        <f t="shared" si="70"/>
        <v>3.8400000000000003</v>
      </c>
      <c r="AK103" s="71">
        <f t="shared" ref="AK103:AK134" si="87">CHOOSE(V103,Z103*SQRT(X103/3),SQRT(X103*((Z103^2)+((Y103^2)/3)-(Y103*Z103))))</f>
        <v>8.5028648724775238</v>
      </c>
      <c r="AL103" s="71">
        <f t="shared" ref="AL103:AL134" si="88">(AK103^2)*RDS_on_HS</f>
        <v>0.28919484415844887</v>
      </c>
      <c r="AM103" s="71">
        <f t="shared" si="71"/>
        <v>0</v>
      </c>
      <c r="AN103" s="188">
        <f t="shared" ref="AN103:AN134" si="89">Vd_rect*t_dead*Fsw*Z103</f>
        <v>0.25906963466440103</v>
      </c>
      <c r="AO103" s="74">
        <f t="shared" si="72"/>
        <v>0.5482644788228499</v>
      </c>
      <c r="AP103" s="73">
        <f t="shared" ref="AP103:AP134" si="90">(AA103^2)*R_cs</f>
        <v>0.52745196008444373</v>
      </c>
      <c r="AQ103" s="206">
        <f t="shared" ref="AQ103:AQ134" si="91">Rdcr*AA103^2</f>
        <v>0.8087596721294803</v>
      </c>
      <c r="AR103" s="206">
        <f t="shared" ref="AR103:AR134" si="92">ABS(7.759*10^-3*Fsw^0.9458*(0.00787*Y103)^2.304)</f>
        <v>3.0218089420955812</v>
      </c>
      <c r="AS103" s="71">
        <f t="shared" ref="AS103:AS134" si="93">(Qg_tot+Qg_tot_HS)*Vcc*Fsw</f>
        <v>0.12000000000000001</v>
      </c>
      <c r="AT103" s="74">
        <f t="shared" ref="AT103:AT134" si="94">IQ*T103</f>
        <v>3.6299999999999995E-5</v>
      </c>
      <c r="AU103" s="73">
        <f t="shared" si="73"/>
        <v>13.444746607352815</v>
      </c>
      <c r="AV103" s="71">
        <f t="shared" si="74"/>
        <v>205.44</v>
      </c>
      <c r="AW103" s="74">
        <f t="shared" si="75"/>
        <v>93.857613737027222</v>
      </c>
    </row>
    <row r="104" spans="17:49" x14ac:dyDescent="0.25">
      <c r="Q104">
        <v>97</v>
      </c>
      <c r="R104" s="73">
        <f t="shared" si="49"/>
        <v>53.5</v>
      </c>
      <c r="S104" s="71">
        <f t="shared" si="79"/>
        <v>3.88</v>
      </c>
      <c r="T104" s="71">
        <f t="shared" si="51"/>
        <v>11</v>
      </c>
      <c r="U104" s="74">
        <f t="shared" si="80"/>
        <v>18.870909090909091</v>
      </c>
      <c r="V104" s="73">
        <f>IF(Variable_Management!$B$20=3,2,IF((S104*R104/T104)&lt;((T104*(1-(T104/R104)))/(2*Lm*Fsw)),1,2))</f>
        <v>2</v>
      </c>
      <c r="W104" s="71">
        <f t="shared" si="81"/>
        <v>0.79439252336448596</v>
      </c>
      <c r="X104" s="74">
        <f t="shared" si="82"/>
        <v>0.20560747663551404</v>
      </c>
      <c r="Y104" s="73">
        <f t="shared" si="83"/>
        <v>5.8255451713395638</v>
      </c>
      <c r="Z104" s="71">
        <f t="shared" si="77"/>
        <v>21.783681676578873</v>
      </c>
      <c r="AA104" s="71">
        <f t="shared" si="78"/>
        <v>18.945693212336284</v>
      </c>
      <c r="AB104" s="71">
        <v>0</v>
      </c>
      <c r="AC104" s="71">
        <f t="shared" si="84"/>
        <v>0.8255603699807198</v>
      </c>
      <c r="AD104" s="74">
        <f t="shared" si="67"/>
        <v>0.8255603699807198</v>
      </c>
      <c r="AE104" s="73">
        <f t="shared" si="76"/>
        <v>14.99090909090909</v>
      </c>
      <c r="AF104" s="71">
        <f t="shared" si="68"/>
        <v>16.886050140493545</v>
      </c>
      <c r="AG104" s="71">
        <f t="shared" si="85"/>
        <v>1.1405547573890482</v>
      </c>
      <c r="AH104" s="71">
        <f t="shared" si="86"/>
        <v>6.5599502187953354</v>
      </c>
      <c r="AI104" s="74">
        <f t="shared" si="69"/>
        <v>7.7005049761843836</v>
      </c>
      <c r="AJ104" s="73">
        <f t="shared" si="70"/>
        <v>3.8800000000000003</v>
      </c>
      <c r="AK104" s="71">
        <f t="shared" si="87"/>
        <v>8.5907276728286028</v>
      </c>
      <c r="AL104" s="71">
        <f t="shared" si="88"/>
        <v>0.2952024077948126</v>
      </c>
      <c r="AM104" s="71">
        <f t="shared" ref="AM104:AM135" si="95">CHOOSE(V104,(R104+Vd_rect)*Qrr*Fsw,(R104+Vd_rect)*Qrr*Fsw)</f>
        <v>0</v>
      </c>
      <c r="AN104" s="188">
        <f t="shared" si="89"/>
        <v>0.26140418011894645</v>
      </c>
      <c r="AO104" s="74">
        <f t="shared" si="72"/>
        <v>0.55660658791375905</v>
      </c>
      <c r="AP104" s="73">
        <f t="shared" si="90"/>
        <v>0.53840893694394765</v>
      </c>
      <c r="AQ104" s="206">
        <f t="shared" si="91"/>
        <v>0.8255603699807198</v>
      </c>
      <c r="AR104" s="206">
        <f t="shared" si="92"/>
        <v>3.0218089420955812</v>
      </c>
      <c r="AS104" s="71">
        <f t="shared" si="93"/>
        <v>0.12000000000000001</v>
      </c>
      <c r="AT104" s="74">
        <f t="shared" si="94"/>
        <v>3.6299999999999995E-5</v>
      </c>
      <c r="AU104" s="73">
        <f t="shared" si="73"/>
        <v>13.588486483099111</v>
      </c>
      <c r="AV104" s="71">
        <f t="shared" si="74"/>
        <v>207.57999999999998</v>
      </c>
      <c r="AW104" s="74">
        <f t="shared" si="75"/>
        <v>93.85604762270799</v>
      </c>
    </row>
    <row r="105" spans="17:49" x14ac:dyDescent="0.25">
      <c r="Q105">
        <v>98</v>
      </c>
      <c r="R105" s="73">
        <f t="shared" si="49"/>
        <v>53.5</v>
      </c>
      <c r="S105" s="71">
        <f t="shared" si="79"/>
        <v>3.92</v>
      </c>
      <c r="T105" s="71">
        <f t="shared" si="51"/>
        <v>11</v>
      </c>
      <c r="U105" s="74">
        <f t="shared" si="80"/>
        <v>19.065454545454546</v>
      </c>
      <c r="V105" s="73">
        <f>IF(Variable_Management!$B$20=3,2,IF((S105*R105/T105)&lt;((T105*(1-(T105/R105)))/(2*Lm*Fsw)),1,2))</f>
        <v>2</v>
      </c>
      <c r="W105" s="71">
        <f t="shared" si="81"/>
        <v>0.79439252336448596</v>
      </c>
      <c r="X105" s="74">
        <f t="shared" si="82"/>
        <v>0.20560747663551404</v>
      </c>
      <c r="Y105" s="73">
        <f t="shared" si="83"/>
        <v>5.8255451713395638</v>
      </c>
      <c r="Z105" s="71">
        <f t="shared" si="77"/>
        <v>21.978227131124328</v>
      </c>
      <c r="AA105" s="71">
        <f t="shared" si="78"/>
        <v>19.139478530080257</v>
      </c>
      <c r="AB105" s="71">
        <v>0</v>
      </c>
      <c r="AC105" s="71">
        <f t="shared" si="84"/>
        <v>0.84253516832782716</v>
      </c>
      <c r="AD105" s="74">
        <f t="shared" si="67"/>
        <v>0.84253516832782716</v>
      </c>
      <c r="AE105" s="73">
        <f t="shared" si="76"/>
        <v>15.145454545454546</v>
      </c>
      <c r="AF105" s="71">
        <f t="shared" si="68"/>
        <v>17.058768475750103</v>
      </c>
      <c r="AG105" s="71">
        <f t="shared" si="85"/>
        <v>1.1640063276369821</v>
      </c>
      <c r="AH105" s="71">
        <f t="shared" si="86"/>
        <v>6.6275785715664206</v>
      </c>
      <c r="AI105" s="74">
        <f t="shared" si="69"/>
        <v>7.7915848992034027</v>
      </c>
      <c r="AJ105" s="73">
        <f t="shared" si="70"/>
        <v>3.9200000000000008</v>
      </c>
      <c r="AK105" s="71">
        <f t="shared" si="87"/>
        <v>8.678597611028966</v>
      </c>
      <c r="AL105" s="71">
        <f t="shared" si="88"/>
        <v>0.30127222597663073</v>
      </c>
      <c r="AM105" s="71">
        <f t="shared" si="95"/>
        <v>0</v>
      </c>
      <c r="AN105" s="188">
        <f t="shared" si="89"/>
        <v>0.26373872557349193</v>
      </c>
      <c r="AO105" s="74">
        <f t="shared" si="72"/>
        <v>0.56501095155012271</v>
      </c>
      <c r="AP105" s="73">
        <f t="shared" si="90"/>
        <v>0.54947945760510475</v>
      </c>
      <c r="AQ105" s="206">
        <f t="shared" si="91"/>
        <v>0.84253516832782716</v>
      </c>
      <c r="AR105" s="206">
        <f t="shared" si="92"/>
        <v>3.0218089420955812</v>
      </c>
      <c r="AS105" s="71">
        <f t="shared" si="93"/>
        <v>0.12000000000000001</v>
      </c>
      <c r="AT105" s="74">
        <f t="shared" si="94"/>
        <v>3.6299999999999995E-5</v>
      </c>
      <c r="AU105" s="73">
        <f t="shared" si="73"/>
        <v>13.732990887109867</v>
      </c>
      <c r="AV105" s="71">
        <f t="shared" si="74"/>
        <v>209.72</v>
      </c>
      <c r="AW105" s="74">
        <f t="shared" si="75"/>
        <v>93.854192404142907</v>
      </c>
    </row>
    <row r="106" spans="17:49" x14ac:dyDescent="0.25">
      <c r="Q106">
        <v>99</v>
      </c>
      <c r="R106" s="73">
        <f t="shared" si="49"/>
        <v>53.5</v>
      </c>
      <c r="S106" s="71">
        <f t="shared" si="79"/>
        <v>3.96</v>
      </c>
      <c r="T106" s="71">
        <f t="shared" si="51"/>
        <v>11</v>
      </c>
      <c r="U106" s="74">
        <f t="shared" si="80"/>
        <v>19.259999999999998</v>
      </c>
      <c r="V106" s="73">
        <f>IF(Variable_Management!$B$20=3,2,IF((S106*R106/T106)&lt;((T106*(1-(T106/R106)))/(2*Lm*Fsw)),1,2))</f>
        <v>2</v>
      </c>
      <c r="W106" s="71">
        <f t="shared" si="81"/>
        <v>0.79439252336448596</v>
      </c>
      <c r="X106" s="74">
        <f t="shared" si="82"/>
        <v>0.20560747663551404</v>
      </c>
      <c r="Y106" s="73">
        <f t="shared" si="83"/>
        <v>5.8255451713395638</v>
      </c>
      <c r="Z106" s="71">
        <f t="shared" si="77"/>
        <v>22.172772585669779</v>
      </c>
      <c r="AA106" s="71">
        <f t="shared" si="78"/>
        <v>19.333279116037449</v>
      </c>
      <c r="AB106" s="71">
        <v>0</v>
      </c>
      <c r="AC106" s="71">
        <f t="shared" si="84"/>
        <v>0.85968406717080248</v>
      </c>
      <c r="AD106" s="74">
        <f t="shared" si="67"/>
        <v>0.85968406717080248</v>
      </c>
      <c r="AE106" s="73">
        <f t="shared" si="76"/>
        <v>15.299999999999997</v>
      </c>
      <c r="AF106" s="71">
        <f t="shared" si="68"/>
        <v>17.231500419366675</v>
      </c>
      <c r="AG106" s="71">
        <f t="shared" si="85"/>
        <v>1.1876984268105357</v>
      </c>
      <c r="AH106" s="71">
        <f t="shared" si="86"/>
        <v>6.6952069243375067</v>
      </c>
      <c r="AI106" s="74">
        <f t="shared" si="69"/>
        <v>7.8829053511480423</v>
      </c>
      <c r="AJ106" s="73">
        <f t="shared" si="70"/>
        <v>3.96</v>
      </c>
      <c r="AK106" s="71">
        <f t="shared" si="87"/>
        <v>8.7664744724419208</v>
      </c>
      <c r="AL106" s="71">
        <f t="shared" si="88"/>
        <v>0.3074042987039034</v>
      </c>
      <c r="AM106" s="71">
        <f t="shared" si="95"/>
        <v>0</v>
      </c>
      <c r="AN106" s="188">
        <f t="shared" si="89"/>
        <v>0.26607327102803735</v>
      </c>
      <c r="AO106" s="74">
        <f t="shared" si="72"/>
        <v>0.57347756973194075</v>
      </c>
      <c r="AP106" s="73">
        <f t="shared" si="90"/>
        <v>0.5606635220679147</v>
      </c>
      <c r="AQ106" s="206">
        <f t="shared" si="91"/>
        <v>0.85968406717080248</v>
      </c>
      <c r="AR106" s="206">
        <f t="shared" si="92"/>
        <v>3.0218089420955812</v>
      </c>
      <c r="AS106" s="71">
        <f t="shared" si="93"/>
        <v>0.12000000000000001</v>
      </c>
      <c r="AT106" s="74">
        <f t="shared" si="94"/>
        <v>3.6299999999999995E-5</v>
      </c>
      <c r="AU106" s="73">
        <f t="shared" si="73"/>
        <v>13.878259819385082</v>
      </c>
      <c r="AV106" s="71">
        <f t="shared" si="74"/>
        <v>211.85999999999999</v>
      </c>
      <c r="AW106" s="74">
        <f t="shared" si="75"/>
        <v>93.852056877514173</v>
      </c>
    </row>
    <row r="107" spans="17:49" x14ac:dyDescent="0.25">
      <c r="Q107">
        <v>100</v>
      </c>
      <c r="R107" s="73">
        <f t="shared" si="49"/>
        <v>53.5</v>
      </c>
      <c r="S107" s="71">
        <f t="shared" si="79"/>
        <v>4</v>
      </c>
      <c r="T107" s="71">
        <f t="shared" si="51"/>
        <v>11</v>
      </c>
      <c r="U107" s="74">
        <f t="shared" si="80"/>
        <v>19.454545454545453</v>
      </c>
      <c r="V107" s="73">
        <f>IF(Variable_Management!$B$20=3,2,IF((S107*R107/T107)&lt;((T107*(1-(T107/R107)))/(2*Lm*Fsw)),1,2))</f>
        <v>2</v>
      </c>
      <c r="W107" s="71">
        <f t="shared" si="81"/>
        <v>0.79439252336448596</v>
      </c>
      <c r="X107" s="74">
        <f t="shared" si="82"/>
        <v>0.20560747663551404</v>
      </c>
      <c r="Y107" s="73">
        <f t="shared" si="83"/>
        <v>5.8255451713395638</v>
      </c>
      <c r="Z107" s="71">
        <f t="shared" si="77"/>
        <v>22.367318040215235</v>
      </c>
      <c r="AA107" s="71">
        <f t="shared" si="78"/>
        <v>19.527094515610482</v>
      </c>
      <c r="AB107" s="71">
        <v>0</v>
      </c>
      <c r="AC107" s="71">
        <f t="shared" si="84"/>
        <v>0.87700706650964533</v>
      </c>
      <c r="AD107" s="74">
        <f t="shared" si="67"/>
        <v>0.87700706650964533</v>
      </c>
      <c r="AE107" s="73">
        <f t="shared" si="76"/>
        <v>15.454545454545453</v>
      </c>
      <c r="AF107" s="71">
        <f t="shared" si="68"/>
        <v>17.40424556616653</v>
      </c>
      <c r="AG107" s="71">
        <f t="shared" si="85"/>
        <v>1.2116310549097093</v>
      </c>
      <c r="AH107" s="71">
        <f t="shared" si="86"/>
        <v>6.7628352771085929</v>
      </c>
      <c r="AI107" s="74">
        <f t="shared" si="69"/>
        <v>7.9744663320183022</v>
      </c>
      <c r="AJ107" s="73">
        <f t="shared" si="70"/>
        <v>4</v>
      </c>
      <c r="AK107" s="71">
        <f t="shared" si="87"/>
        <v>8.8543580509350122</v>
      </c>
      <c r="AL107" s="71">
        <f t="shared" si="88"/>
        <v>0.31359862597663068</v>
      </c>
      <c r="AM107" s="71">
        <f t="shared" si="95"/>
        <v>0</v>
      </c>
      <c r="AN107" s="188">
        <f t="shared" si="89"/>
        <v>0.26840781648258283</v>
      </c>
      <c r="AO107" s="74">
        <f t="shared" si="72"/>
        <v>0.58200644245921351</v>
      </c>
      <c r="AP107" s="73">
        <f t="shared" si="90"/>
        <v>0.57196113033237739</v>
      </c>
      <c r="AQ107" s="206">
        <f t="shared" si="91"/>
        <v>0.87700706650964533</v>
      </c>
      <c r="AR107" s="206">
        <f t="shared" si="92"/>
        <v>3.0218089420955812</v>
      </c>
      <c r="AS107" s="71">
        <f t="shared" si="93"/>
        <v>0.12000000000000001</v>
      </c>
      <c r="AT107" s="74">
        <f t="shared" si="94"/>
        <v>3.6299999999999995E-5</v>
      </c>
      <c r="AU107" s="73">
        <f t="shared" si="73"/>
        <v>14.024293279924763</v>
      </c>
      <c r="AV107" s="71">
        <f t="shared" si="74"/>
        <v>214</v>
      </c>
      <c r="AW107" s="74">
        <f t="shared" si="75"/>
        <v>93.849649492079152</v>
      </c>
    </row>
    <row r="108" spans="17:49" x14ac:dyDescent="0.25">
      <c r="Q108">
        <v>101</v>
      </c>
      <c r="R108" s="73">
        <f t="shared" si="49"/>
        <v>53.5</v>
      </c>
      <c r="S108" s="71">
        <f t="shared" si="79"/>
        <v>4.04</v>
      </c>
      <c r="T108" s="71">
        <f t="shared" si="51"/>
        <v>11</v>
      </c>
      <c r="U108" s="74">
        <f t="shared" si="80"/>
        <v>19.649090909090912</v>
      </c>
      <c r="V108" s="73">
        <f>IF(Variable_Management!$B$20=3,2,IF((S108*R108/T108)&lt;((T108*(1-(T108/R108)))/(2*Lm*Fsw)),1,2))</f>
        <v>2</v>
      </c>
      <c r="W108" s="71">
        <f t="shared" si="81"/>
        <v>0.79439252336448596</v>
      </c>
      <c r="X108" s="74">
        <f t="shared" si="82"/>
        <v>0.20560747663551404</v>
      </c>
      <c r="Y108" s="73">
        <f t="shared" si="83"/>
        <v>5.8255451713395638</v>
      </c>
      <c r="Z108" s="71">
        <f t="shared" si="77"/>
        <v>22.561863494760694</v>
      </c>
      <c r="AA108" s="71">
        <f t="shared" si="78"/>
        <v>19.720924292038873</v>
      </c>
      <c r="AB108" s="71">
        <v>0</v>
      </c>
      <c r="AC108" s="71">
        <f t="shared" si="84"/>
        <v>0.89450416634435648</v>
      </c>
      <c r="AD108" s="74">
        <f t="shared" si="67"/>
        <v>0.89450416634435648</v>
      </c>
      <c r="AE108" s="73">
        <f t="shared" si="76"/>
        <v>15.609090909090911</v>
      </c>
      <c r="AF108" s="71">
        <f t="shared" si="68"/>
        <v>17.577003526870719</v>
      </c>
      <c r="AG108" s="71">
        <f t="shared" si="85"/>
        <v>1.2358042119345027</v>
      </c>
      <c r="AH108" s="71">
        <f t="shared" si="86"/>
        <v>6.8304636298796808</v>
      </c>
      <c r="AI108" s="74">
        <f t="shared" si="69"/>
        <v>8.0662678418141844</v>
      </c>
      <c r="AJ108" s="73">
        <f t="shared" si="70"/>
        <v>4.0400000000000009</v>
      </c>
      <c r="AK108" s="71">
        <f t="shared" si="87"/>
        <v>8.9422481484637366</v>
      </c>
      <c r="AL108" s="71">
        <f t="shared" si="88"/>
        <v>0.31985520779481247</v>
      </c>
      <c r="AM108" s="71">
        <f t="shared" si="95"/>
        <v>0</v>
      </c>
      <c r="AN108" s="188">
        <f t="shared" si="89"/>
        <v>0.27074236193712831</v>
      </c>
      <c r="AO108" s="74">
        <f t="shared" si="72"/>
        <v>0.59059756973194077</v>
      </c>
      <c r="AP108" s="73">
        <f t="shared" si="90"/>
        <v>0.58337228239849337</v>
      </c>
      <c r="AQ108" s="206">
        <f t="shared" si="91"/>
        <v>0.89450416634435648</v>
      </c>
      <c r="AR108" s="206">
        <f t="shared" si="92"/>
        <v>3.0218089420955812</v>
      </c>
      <c r="AS108" s="71">
        <f t="shared" si="93"/>
        <v>0.12000000000000001</v>
      </c>
      <c r="AT108" s="74">
        <f t="shared" si="94"/>
        <v>3.6299999999999995E-5</v>
      </c>
      <c r="AU108" s="73">
        <f t="shared" si="73"/>
        <v>14.171091268728912</v>
      </c>
      <c r="AV108" s="71">
        <f t="shared" si="74"/>
        <v>216.14000000000001</v>
      </c>
      <c r="AW108" s="74">
        <f t="shared" si="75"/>
        <v>93.846978367101769</v>
      </c>
    </row>
    <row r="109" spans="17:49" x14ac:dyDescent="0.25">
      <c r="Q109">
        <v>102</v>
      </c>
      <c r="R109" s="73">
        <f t="shared" si="49"/>
        <v>53.5</v>
      </c>
      <c r="S109" s="71">
        <f t="shared" si="79"/>
        <v>4.08</v>
      </c>
      <c r="T109" s="71">
        <f t="shared" si="51"/>
        <v>11</v>
      </c>
      <c r="U109" s="74">
        <f t="shared" si="80"/>
        <v>19.843636363636364</v>
      </c>
      <c r="V109" s="73">
        <f>IF(Variable_Management!$B$20=3,2,IF((S109*R109/T109)&lt;((T109*(1-(T109/R109)))/(2*Lm*Fsw)),1,2))</f>
        <v>2</v>
      </c>
      <c r="W109" s="71">
        <f t="shared" si="81"/>
        <v>0.79439252336448596</v>
      </c>
      <c r="X109" s="74">
        <f t="shared" si="82"/>
        <v>0.20560747663551404</v>
      </c>
      <c r="Y109" s="73">
        <f t="shared" si="83"/>
        <v>5.8255451713395638</v>
      </c>
      <c r="Z109" s="71">
        <f t="shared" si="77"/>
        <v>22.756408949306145</v>
      </c>
      <c r="AA109" s="71">
        <f t="shared" si="78"/>
        <v>19.914768025534247</v>
      </c>
      <c r="AB109" s="71">
        <v>0</v>
      </c>
      <c r="AC109" s="71">
        <f t="shared" si="84"/>
        <v>0.91217536667493482</v>
      </c>
      <c r="AD109" s="74">
        <f t="shared" si="67"/>
        <v>0.91217536667493482</v>
      </c>
      <c r="AE109" s="73">
        <f t="shared" si="76"/>
        <v>15.763636363636364</v>
      </c>
      <c r="AF109" s="71">
        <f t="shared" si="68"/>
        <v>17.749773927327325</v>
      </c>
      <c r="AG109" s="71">
        <f t="shared" si="85"/>
        <v>1.2602178978849157</v>
      </c>
      <c r="AH109" s="71">
        <f t="shared" si="86"/>
        <v>6.8980919826507661</v>
      </c>
      <c r="AI109" s="74">
        <f t="shared" si="69"/>
        <v>8.1583098805356826</v>
      </c>
      <c r="AJ109" s="73">
        <f t="shared" si="70"/>
        <v>4.08</v>
      </c>
      <c r="AK109" s="71">
        <f t="shared" si="87"/>
        <v>9.0301445746794222</v>
      </c>
      <c r="AL109" s="71">
        <f t="shared" si="88"/>
        <v>0.32617404415844881</v>
      </c>
      <c r="AM109" s="71">
        <f t="shared" si="95"/>
        <v>0</v>
      </c>
      <c r="AN109" s="188">
        <f t="shared" si="89"/>
        <v>0.27307690739167373</v>
      </c>
      <c r="AO109" s="74">
        <f t="shared" si="72"/>
        <v>0.59925095155012253</v>
      </c>
      <c r="AP109" s="73">
        <f t="shared" si="90"/>
        <v>0.59489697826626187</v>
      </c>
      <c r="AQ109" s="206">
        <f t="shared" si="91"/>
        <v>0.91217536667493482</v>
      </c>
      <c r="AR109" s="206">
        <f t="shared" si="92"/>
        <v>3.0218089420955812</v>
      </c>
      <c r="AS109" s="71">
        <f t="shared" si="93"/>
        <v>0.12000000000000001</v>
      </c>
      <c r="AT109" s="74">
        <f t="shared" si="94"/>
        <v>3.6299999999999995E-5</v>
      </c>
      <c r="AU109" s="73">
        <f t="shared" si="73"/>
        <v>14.318653785797519</v>
      </c>
      <c r="AV109" s="71">
        <f t="shared" si="74"/>
        <v>218.28</v>
      </c>
      <c r="AW109" s="74">
        <f t="shared" si="75"/>
        <v>93.844051307801763</v>
      </c>
    </row>
    <row r="110" spans="17:49" x14ac:dyDescent="0.25">
      <c r="Q110">
        <v>103</v>
      </c>
      <c r="R110" s="73">
        <f t="shared" si="49"/>
        <v>53.5</v>
      </c>
      <c r="S110" s="71">
        <f t="shared" si="79"/>
        <v>4.12</v>
      </c>
      <c r="T110" s="71">
        <f t="shared" si="51"/>
        <v>11</v>
      </c>
      <c r="U110" s="74">
        <f t="shared" si="80"/>
        <v>20.038181818181819</v>
      </c>
      <c r="V110" s="73">
        <f>IF(Variable_Management!$B$20=3,2,IF((S110*R110/T110)&lt;((T110*(1-(T110/R110)))/(2*Lm*Fsw)),1,2))</f>
        <v>2</v>
      </c>
      <c r="W110" s="71">
        <f t="shared" si="81"/>
        <v>0.79439252336448596</v>
      </c>
      <c r="X110" s="74">
        <f t="shared" si="82"/>
        <v>0.20560747663551404</v>
      </c>
      <c r="Y110" s="73">
        <f t="shared" si="83"/>
        <v>5.8255451713395638</v>
      </c>
      <c r="Z110" s="71">
        <f t="shared" si="77"/>
        <v>22.9509544038516</v>
      </c>
      <c r="AA110" s="71">
        <f t="shared" si="78"/>
        <v>20.10862531246535</v>
      </c>
      <c r="AB110" s="71">
        <v>0</v>
      </c>
      <c r="AC110" s="71">
        <f t="shared" si="84"/>
        <v>0.93002066750138102</v>
      </c>
      <c r="AD110" s="74">
        <f t="shared" si="67"/>
        <v>0.93002066750138102</v>
      </c>
      <c r="AE110" s="73">
        <f t="shared" si="76"/>
        <v>15.918181818181818</v>
      </c>
      <c r="AF110" s="71">
        <f t="shared" si="68"/>
        <v>17.922556407785056</v>
      </c>
      <c r="AG110" s="71">
        <f t="shared" si="85"/>
        <v>1.2848721127609486</v>
      </c>
      <c r="AH110" s="71">
        <f t="shared" si="86"/>
        <v>6.9657203354218513</v>
      </c>
      <c r="AI110" s="74">
        <f t="shared" si="69"/>
        <v>8.2505924481828004</v>
      </c>
      <c r="AJ110" s="73">
        <f t="shared" si="70"/>
        <v>4.120000000000001</v>
      </c>
      <c r="AK110" s="71">
        <f t="shared" si="87"/>
        <v>9.11804714655967</v>
      </c>
      <c r="AL110" s="71">
        <f t="shared" si="88"/>
        <v>0.33255513506753975</v>
      </c>
      <c r="AM110" s="71">
        <f t="shared" si="95"/>
        <v>0</v>
      </c>
      <c r="AN110" s="188">
        <f t="shared" si="89"/>
        <v>0.27541145284621921</v>
      </c>
      <c r="AO110" s="74">
        <f t="shared" si="72"/>
        <v>0.60796658791375902</v>
      </c>
      <c r="AP110" s="73">
        <f t="shared" si="90"/>
        <v>0.60653521793568332</v>
      </c>
      <c r="AQ110" s="206">
        <f t="shared" si="91"/>
        <v>0.93002066750138102</v>
      </c>
      <c r="AR110" s="206">
        <f t="shared" si="92"/>
        <v>3.0218089420955812</v>
      </c>
      <c r="AS110" s="71">
        <f t="shared" si="93"/>
        <v>0.12000000000000001</v>
      </c>
      <c r="AT110" s="74">
        <f t="shared" si="94"/>
        <v>3.6299999999999995E-5</v>
      </c>
      <c r="AU110" s="73">
        <f t="shared" si="73"/>
        <v>14.466980831130584</v>
      </c>
      <c r="AV110" s="71">
        <f t="shared" si="74"/>
        <v>220.42000000000002</v>
      </c>
      <c r="AW110" s="74">
        <f t="shared" si="75"/>
        <v>93.840875820388078</v>
      </c>
    </row>
    <row r="111" spans="17:49" x14ac:dyDescent="0.25">
      <c r="Q111">
        <v>104</v>
      </c>
      <c r="R111" s="73">
        <f t="shared" si="49"/>
        <v>53.5</v>
      </c>
      <c r="S111" s="71">
        <f t="shared" si="79"/>
        <v>4.16</v>
      </c>
      <c r="T111" s="71">
        <f t="shared" si="51"/>
        <v>11</v>
      </c>
      <c r="U111" s="74">
        <f t="shared" si="80"/>
        <v>20.232727272727274</v>
      </c>
      <c r="V111" s="73">
        <f>IF(Variable_Management!$B$20=3,2,IF((S111*R111/T111)&lt;((T111*(1-(T111/R111)))/(2*Lm*Fsw)),1,2))</f>
        <v>2</v>
      </c>
      <c r="W111" s="71">
        <f t="shared" si="81"/>
        <v>0.79439252336448596</v>
      </c>
      <c r="X111" s="74">
        <f t="shared" si="82"/>
        <v>0.20560747663551404</v>
      </c>
      <c r="Y111" s="73">
        <f t="shared" si="83"/>
        <v>5.8255451713395638</v>
      </c>
      <c r="Z111" s="71">
        <f t="shared" si="77"/>
        <v>23.145499858397056</v>
      </c>
      <c r="AA111" s="71">
        <f t="shared" si="78"/>
        <v>20.302495764589434</v>
      </c>
      <c r="AB111" s="71">
        <v>0</v>
      </c>
      <c r="AC111" s="71">
        <f t="shared" si="84"/>
        <v>0.9480400688236954</v>
      </c>
      <c r="AD111" s="74">
        <f t="shared" si="67"/>
        <v>0.9480400688236954</v>
      </c>
      <c r="AE111" s="73">
        <f t="shared" si="76"/>
        <v>16.072727272727274</v>
      </c>
      <c r="AF111" s="71">
        <f t="shared" si="68"/>
        <v>18.095350622208194</v>
      </c>
      <c r="AG111" s="71">
        <f t="shared" si="85"/>
        <v>1.3097668565626019</v>
      </c>
      <c r="AH111" s="71">
        <f t="shared" si="86"/>
        <v>7.0333486881929383</v>
      </c>
      <c r="AI111" s="74">
        <f t="shared" si="69"/>
        <v>8.3431155447555412</v>
      </c>
      <c r="AJ111" s="73">
        <f t="shared" si="70"/>
        <v>4.160000000000001</v>
      </c>
      <c r="AK111" s="71">
        <f t="shared" si="87"/>
        <v>9.2059556880598397</v>
      </c>
      <c r="AL111" s="71">
        <f t="shared" si="88"/>
        <v>0.33899848052208531</v>
      </c>
      <c r="AM111" s="71">
        <f t="shared" si="95"/>
        <v>0</v>
      </c>
      <c r="AN111" s="188">
        <f t="shared" si="89"/>
        <v>0.27774599830076468</v>
      </c>
      <c r="AO111" s="74">
        <f t="shared" si="72"/>
        <v>0.61674447882285</v>
      </c>
      <c r="AP111" s="73">
        <f t="shared" si="90"/>
        <v>0.61828700140675785</v>
      </c>
      <c r="AQ111" s="206">
        <f t="shared" si="91"/>
        <v>0.9480400688236954</v>
      </c>
      <c r="AR111" s="206">
        <f t="shared" si="92"/>
        <v>3.0218089420955812</v>
      </c>
      <c r="AS111" s="71">
        <f t="shared" si="93"/>
        <v>0.12000000000000001</v>
      </c>
      <c r="AT111" s="74">
        <f t="shared" si="94"/>
        <v>3.6299999999999995E-5</v>
      </c>
      <c r="AU111" s="73">
        <f t="shared" si="73"/>
        <v>14.616072404728122</v>
      </c>
      <c r="AV111" s="71">
        <f t="shared" si="74"/>
        <v>222.56</v>
      </c>
      <c r="AW111" s="74">
        <f t="shared" si="75"/>
        <v>93.837459126236567</v>
      </c>
    </row>
    <row r="112" spans="17:49" x14ac:dyDescent="0.25">
      <c r="Q112">
        <v>105</v>
      </c>
      <c r="R112" s="73">
        <f t="shared" si="49"/>
        <v>53.5</v>
      </c>
      <c r="S112" s="71">
        <f t="shared" si="79"/>
        <v>4.2</v>
      </c>
      <c r="T112" s="71">
        <f t="shared" si="51"/>
        <v>11</v>
      </c>
      <c r="U112" s="74">
        <f t="shared" si="80"/>
        <v>20.427272727272729</v>
      </c>
      <c r="V112" s="73">
        <f>IF(Variable_Management!$B$20=3,2,IF((S112*R112/T112)&lt;((T112*(1-(T112/R112)))/(2*Lm*Fsw)),1,2))</f>
        <v>2</v>
      </c>
      <c r="W112" s="71">
        <f t="shared" si="81"/>
        <v>0.79439252336448596</v>
      </c>
      <c r="X112" s="74">
        <f t="shared" si="82"/>
        <v>0.20560747663551404</v>
      </c>
      <c r="Y112" s="73">
        <f t="shared" si="83"/>
        <v>5.8255451713395638</v>
      </c>
      <c r="Z112" s="71">
        <f t="shared" si="77"/>
        <v>23.340045312942511</v>
      </c>
      <c r="AA112" s="71">
        <f t="shared" si="78"/>
        <v>20.496379008327057</v>
      </c>
      <c r="AB112" s="71">
        <v>0</v>
      </c>
      <c r="AC112" s="71">
        <f t="shared" si="84"/>
        <v>0.96623357064187709</v>
      </c>
      <c r="AD112" s="74">
        <f t="shared" si="67"/>
        <v>0.96623357064187709</v>
      </c>
      <c r="AE112" s="73">
        <f t="shared" si="76"/>
        <v>16.22727272727273</v>
      </c>
      <c r="AF112" s="71">
        <f t="shared" si="68"/>
        <v>18.26815623763024</v>
      </c>
      <c r="AG112" s="71">
        <f t="shared" si="85"/>
        <v>1.3349021292898746</v>
      </c>
      <c r="AH112" s="71">
        <f t="shared" si="86"/>
        <v>7.1009770409640236</v>
      </c>
      <c r="AI112" s="74">
        <f t="shared" si="69"/>
        <v>8.435879170253898</v>
      </c>
      <c r="AJ112" s="73">
        <f t="shared" si="70"/>
        <v>4.2000000000000011</v>
      </c>
      <c r="AK112" s="71">
        <f t="shared" si="87"/>
        <v>9.2938700297842178</v>
      </c>
      <c r="AL112" s="71">
        <f t="shared" si="88"/>
        <v>0.3455040805220852</v>
      </c>
      <c r="AM112" s="71">
        <f t="shared" si="95"/>
        <v>0</v>
      </c>
      <c r="AN112" s="188">
        <f t="shared" si="89"/>
        <v>0.28008054375531016</v>
      </c>
      <c r="AO112" s="74">
        <f t="shared" si="72"/>
        <v>0.62558462427739536</v>
      </c>
      <c r="AP112" s="73">
        <f t="shared" si="90"/>
        <v>0.63015232867948512</v>
      </c>
      <c r="AQ112" s="206">
        <f t="shared" si="91"/>
        <v>0.96623357064187709</v>
      </c>
      <c r="AR112" s="206">
        <f t="shared" si="92"/>
        <v>3.0218089420955812</v>
      </c>
      <c r="AS112" s="71">
        <f t="shared" si="93"/>
        <v>0.12000000000000001</v>
      </c>
      <c r="AT112" s="74">
        <f t="shared" si="94"/>
        <v>3.6299999999999995E-5</v>
      </c>
      <c r="AU112" s="73">
        <f t="shared" si="73"/>
        <v>14.765928506590114</v>
      </c>
      <c r="AV112" s="71">
        <f t="shared" si="74"/>
        <v>224.70000000000002</v>
      </c>
      <c r="AW112" s="74">
        <f t="shared" si="75"/>
        <v>93.833808175268757</v>
      </c>
    </row>
    <row r="113" spans="17:49" x14ac:dyDescent="0.25">
      <c r="Q113">
        <v>106</v>
      </c>
      <c r="R113" s="73">
        <f t="shared" si="49"/>
        <v>53.5</v>
      </c>
      <c r="S113" s="71">
        <f t="shared" si="79"/>
        <v>4.24</v>
      </c>
      <c r="T113" s="71">
        <f t="shared" si="51"/>
        <v>11</v>
      </c>
      <c r="U113" s="74">
        <f t="shared" si="80"/>
        <v>20.621818181818181</v>
      </c>
      <c r="V113" s="73">
        <f>IF(Variable_Management!$B$20=3,2,IF((S113*R113/T113)&lt;((T113*(1-(T113/R113)))/(2*Lm*Fsw)),1,2))</f>
        <v>2</v>
      </c>
      <c r="W113" s="71">
        <f t="shared" si="81"/>
        <v>0.79439252336448596</v>
      </c>
      <c r="X113" s="74">
        <f t="shared" si="82"/>
        <v>0.20560747663551404</v>
      </c>
      <c r="Y113" s="73">
        <f t="shared" si="83"/>
        <v>5.8255451713395638</v>
      </c>
      <c r="Z113" s="71">
        <f t="shared" si="77"/>
        <v>23.534590767487963</v>
      </c>
      <c r="AA113" s="71">
        <f t="shared" si="78"/>
        <v>20.690274684077462</v>
      </c>
      <c r="AB113" s="71">
        <v>0</v>
      </c>
      <c r="AC113" s="71">
        <f t="shared" si="84"/>
        <v>0.98460117295592642</v>
      </c>
      <c r="AD113" s="74">
        <f t="shared" si="67"/>
        <v>0.98460117295592642</v>
      </c>
      <c r="AE113" s="73">
        <f t="shared" si="76"/>
        <v>16.381818181818179</v>
      </c>
      <c r="AF113" s="71">
        <f t="shared" si="68"/>
        <v>18.440972933543708</v>
      </c>
      <c r="AG113" s="71">
        <f t="shared" si="85"/>
        <v>1.3602779309427666</v>
      </c>
      <c r="AH113" s="71">
        <f t="shared" si="86"/>
        <v>7.1686053937351089</v>
      </c>
      <c r="AI113" s="74">
        <f t="shared" si="69"/>
        <v>8.5288833246778761</v>
      </c>
      <c r="AJ113" s="73">
        <f t="shared" si="70"/>
        <v>4.24</v>
      </c>
      <c r="AK113" s="71">
        <f t="shared" si="87"/>
        <v>9.3817900086755799</v>
      </c>
      <c r="AL113" s="71">
        <f t="shared" si="88"/>
        <v>0.35207193506753975</v>
      </c>
      <c r="AM113" s="71">
        <f t="shared" si="95"/>
        <v>0</v>
      </c>
      <c r="AN113" s="188">
        <f t="shared" si="89"/>
        <v>0.28241508920985553</v>
      </c>
      <c r="AO113" s="74">
        <f t="shared" si="72"/>
        <v>0.63448702427739523</v>
      </c>
      <c r="AP113" s="73">
        <f t="shared" si="90"/>
        <v>0.64213119975386512</v>
      </c>
      <c r="AQ113" s="206">
        <f t="shared" si="91"/>
        <v>0.98460117295592642</v>
      </c>
      <c r="AR113" s="206">
        <f t="shared" si="92"/>
        <v>3.0218089420955812</v>
      </c>
      <c r="AS113" s="71">
        <f t="shared" si="93"/>
        <v>0.12000000000000001</v>
      </c>
      <c r="AT113" s="74">
        <f t="shared" si="94"/>
        <v>3.6299999999999995E-5</v>
      </c>
      <c r="AU113" s="73">
        <f t="shared" si="73"/>
        <v>14.916549136716569</v>
      </c>
      <c r="AV113" s="71">
        <f t="shared" si="74"/>
        <v>226.84</v>
      </c>
      <c r="AW113" s="74">
        <f t="shared" si="75"/>
        <v>93.829929658583495</v>
      </c>
    </row>
    <row r="114" spans="17:49" x14ac:dyDescent="0.25">
      <c r="Q114">
        <v>107</v>
      </c>
      <c r="R114" s="73">
        <f t="shared" si="49"/>
        <v>53.5</v>
      </c>
      <c r="S114" s="71">
        <f t="shared" si="79"/>
        <v>4.28</v>
      </c>
      <c r="T114" s="71">
        <f t="shared" si="51"/>
        <v>11</v>
      </c>
      <c r="U114" s="74">
        <f t="shared" si="80"/>
        <v>20.816363636363636</v>
      </c>
      <c r="V114" s="73">
        <f>IF(Variable_Management!$B$20=3,2,IF((S114*R114/T114)&lt;((T114*(1-(T114/R114)))/(2*Lm*Fsw)),1,2))</f>
        <v>2</v>
      </c>
      <c r="W114" s="71">
        <f t="shared" si="81"/>
        <v>0.79439252336448596</v>
      </c>
      <c r="X114" s="74">
        <f t="shared" si="82"/>
        <v>0.20560747663551404</v>
      </c>
      <c r="Y114" s="73">
        <f t="shared" si="83"/>
        <v>5.8255451713395638</v>
      </c>
      <c r="Z114" s="71">
        <f t="shared" si="77"/>
        <v>23.729136222033418</v>
      </c>
      <c r="AA114" s="71">
        <f t="shared" si="78"/>
        <v>20.884182445571867</v>
      </c>
      <c r="AB114" s="71">
        <v>0</v>
      </c>
      <c r="AC114" s="71">
        <f t="shared" si="84"/>
        <v>1.0031428757658438</v>
      </c>
      <c r="AD114" s="74">
        <f t="shared" si="67"/>
        <v>1.0031428757658438</v>
      </c>
      <c r="AE114" s="73">
        <f t="shared" si="76"/>
        <v>16.536363636363635</v>
      </c>
      <c r="AF114" s="71">
        <f t="shared" si="68"/>
        <v>18.61380040132374</v>
      </c>
      <c r="AG114" s="71">
        <f t="shared" si="85"/>
        <v>1.3858942615212793</v>
      </c>
      <c r="AH114" s="71">
        <f t="shared" si="86"/>
        <v>7.2362337465061941</v>
      </c>
      <c r="AI114" s="74">
        <f t="shared" si="69"/>
        <v>8.6221280080274738</v>
      </c>
      <c r="AJ114" s="73">
        <f t="shared" si="70"/>
        <v>4.28</v>
      </c>
      <c r="AK114" s="71">
        <f t="shared" si="87"/>
        <v>9.4697154677219419</v>
      </c>
      <c r="AL114" s="71">
        <f t="shared" si="88"/>
        <v>0.35870204415844881</v>
      </c>
      <c r="AM114" s="71">
        <f t="shared" si="95"/>
        <v>0</v>
      </c>
      <c r="AN114" s="188">
        <f t="shared" si="89"/>
        <v>0.28474963466440101</v>
      </c>
      <c r="AO114" s="74">
        <f t="shared" si="72"/>
        <v>0.64345167882284982</v>
      </c>
      <c r="AP114" s="73">
        <f t="shared" si="90"/>
        <v>0.6542236146298982</v>
      </c>
      <c r="AQ114" s="206">
        <f t="shared" si="91"/>
        <v>1.0031428757658438</v>
      </c>
      <c r="AR114" s="206">
        <f t="shared" si="92"/>
        <v>3.0218089420955812</v>
      </c>
      <c r="AS114" s="71">
        <f t="shared" si="93"/>
        <v>0.12000000000000001</v>
      </c>
      <c r="AT114" s="74">
        <f t="shared" si="94"/>
        <v>3.6299999999999995E-5</v>
      </c>
      <c r="AU114" s="73">
        <f t="shared" si="73"/>
        <v>15.067934295107491</v>
      </c>
      <c r="AV114" s="71">
        <f t="shared" si="74"/>
        <v>228.98000000000002</v>
      </c>
      <c r="AW114" s="74">
        <f t="shared" si="75"/>
        <v>93.825830020389745</v>
      </c>
    </row>
    <row r="115" spans="17:49" x14ac:dyDescent="0.25">
      <c r="Q115">
        <v>108</v>
      </c>
      <c r="R115" s="73">
        <f t="shared" si="49"/>
        <v>53.5</v>
      </c>
      <c r="S115" s="71">
        <f t="shared" si="79"/>
        <v>4.32</v>
      </c>
      <c r="T115" s="71">
        <f t="shared" si="51"/>
        <v>11</v>
      </c>
      <c r="U115" s="74">
        <f t="shared" si="80"/>
        <v>21.010909090909092</v>
      </c>
      <c r="V115" s="73">
        <f>IF(Variable_Management!$B$20=3,2,IF((S115*R115/T115)&lt;((T115*(1-(T115/R115)))/(2*Lm*Fsw)),1,2))</f>
        <v>2</v>
      </c>
      <c r="W115" s="71">
        <f t="shared" si="81"/>
        <v>0.79439252336448596</v>
      </c>
      <c r="X115" s="74">
        <f t="shared" si="82"/>
        <v>0.20560747663551404</v>
      </c>
      <c r="Y115" s="73">
        <f t="shared" si="83"/>
        <v>5.8255451713395638</v>
      </c>
      <c r="Z115" s="71">
        <f t="shared" si="77"/>
        <v>23.923681676578873</v>
      </c>
      <c r="AA115" s="71">
        <f t="shared" si="78"/>
        <v>21.078101959262273</v>
      </c>
      <c r="AB115" s="71">
        <v>0</v>
      </c>
      <c r="AC115" s="71">
        <f t="shared" si="84"/>
        <v>1.0218586790716291</v>
      </c>
      <c r="AD115" s="74">
        <f t="shared" si="67"/>
        <v>1.0218586790716291</v>
      </c>
      <c r="AE115" s="73">
        <f t="shared" si="76"/>
        <v>16.690909090909091</v>
      </c>
      <c r="AF115" s="71">
        <f t="shared" si="68"/>
        <v>18.786638343683336</v>
      </c>
      <c r="AG115" s="71">
        <f t="shared" si="85"/>
        <v>1.4117511210254117</v>
      </c>
      <c r="AH115" s="71">
        <f t="shared" si="86"/>
        <v>7.3038620992772811</v>
      </c>
      <c r="AI115" s="74">
        <f t="shared" si="69"/>
        <v>8.7156132203026928</v>
      </c>
      <c r="AJ115" s="73">
        <f t="shared" si="70"/>
        <v>4.32</v>
      </c>
      <c r="AK115" s="71">
        <f t="shared" si="87"/>
        <v>9.557646255679435</v>
      </c>
      <c r="AL115" s="71">
        <f t="shared" si="88"/>
        <v>0.36539440779481247</v>
      </c>
      <c r="AM115" s="71">
        <f t="shared" si="95"/>
        <v>0</v>
      </c>
      <c r="AN115" s="188">
        <f t="shared" si="89"/>
        <v>0.28708418011894649</v>
      </c>
      <c r="AO115" s="74">
        <f t="shared" si="72"/>
        <v>0.6524785879137589</v>
      </c>
      <c r="AP115" s="73">
        <f t="shared" si="90"/>
        <v>0.66642957330758412</v>
      </c>
      <c r="AQ115" s="206">
        <f t="shared" si="91"/>
        <v>1.0218586790716291</v>
      </c>
      <c r="AR115" s="206">
        <f t="shared" si="92"/>
        <v>3.0218089420955812</v>
      </c>
      <c r="AS115" s="71">
        <f t="shared" si="93"/>
        <v>0.12000000000000001</v>
      </c>
      <c r="AT115" s="74">
        <f t="shared" si="94"/>
        <v>3.6299999999999995E-5</v>
      </c>
      <c r="AU115" s="73">
        <f t="shared" si="73"/>
        <v>15.220083981762873</v>
      </c>
      <c r="AV115" s="71">
        <f t="shared" si="74"/>
        <v>231.12</v>
      </c>
      <c r="AW115" s="74">
        <f t="shared" si="75"/>
        <v>93.821515469285274</v>
      </c>
    </row>
    <row r="116" spans="17:49" x14ac:dyDescent="0.25">
      <c r="Q116">
        <v>109</v>
      </c>
      <c r="R116" s="73">
        <f t="shared" si="49"/>
        <v>53.5</v>
      </c>
      <c r="S116" s="71">
        <f t="shared" si="79"/>
        <v>4.3600000000000003</v>
      </c>
      <c r="T116" s="71">
        <f t="shared" si="51"/>
        <v>11</v>
      </c>
      <c r="U116" s="74">
        <f t="shared" si="80"/>
        <v>21.205454545454547</v>
      </c>
      <c r="V116" s="73">
        <f>IF(Variable_Management!$B$20=3,2,IF((S116*R116/T116)&lt;((T116*(1-(T116/R116)))/(2*Lm*Fsw)),1,2))</f>
        <v>2</v>
      </c>
      <c r="W116" s="71">
        <f t="shared" si="81"/>
        <v>0.79439252336448596</v>
      </c>
      <c r="X116" s="74">
        <f t="shared" si="82"/>
        <v>0.20560747663551404</v>
      </c>
      <c r="Y116" s="73">
        <f t="shared" si="83"/>
        <v>5.8255451713395638</v>
      </c>
      <c r="Z116" s="71">
        <f t="shared" si="77"/>
        <v>24.118227131124328</v>
      </c>
      <c r="AA116" s="71">
        <f t="shared" si="78"/>
        <v>21.272032903743561</v>
      </c>
      <c r="AB116" s="71">
        <v>0</v>
      </c>
      <c r="AC116" s="71">
        <f t="shared" si="84"/>
        <v>1.0407485828732821</v>
      </c>
      <c r="AD116" s="74">
        <f t="shared" si="67"/>
        <v>1.0407485828732821</v>
      </c>
      <c r="AE116" s="73">
        <f t="shared" si="76"/>
        <v>16.845454545454547</v>
      </c>
      <c r="AF116" s="71">
        <f t="shared" si="68"/>
        <v>18.959486474158286</v>
      </c>
      <c r="AG116" s="71">
        <f t="shared" si="85"/>
        <v>1.4378485094551641</v>
      </c>
      <c r="AH116" s="71">
        <f t="shared" si="86"/>
        <v>7.3714904520483673</v>
      </c>
      <c r="AI116" s="74">
        <f t="shared" si="69"/>
        <v>8.8093389615035314</v>
      </c>
      <c r="AJ116" s="73">
        <f t="shared" si="70"/>
        <v>4.3600000000000012</v>
      </c>
      <c r="AK116" s="71">
        <f t="shared" si="87"/>
        <v>9.6455822268102445</v>
      </c>
      <c r="AL116" s="71">
        <f t="shared" si="88"/>
        <v>0.37214902597663069</v>
      </c>
      <c r="AM116" s="71">
        <f t="shared" si="95"/>
        <v>0</v>
      </c>
      <c r="AN116" s="188">
        <f t="shared" si="89"/>
        <v>0.28941872557349196</v>
      </c>
      <c r="AO116" s="74">
        <f t="shared" si="72"/>
        <v>0.6615677515501226</v>
      </c>
      <c r="AP116" s="73">
        <f t="shared" si="90"/>
        <v>0.67874907578692312</v>
      </c>
      <c r="AQ116" s="206">
        <f t="shared" si="91"/>
        <v>1.0407485828732821</v>
      </c>
      <c r="AR116" s="206">
        <f t="shared" si="92"/>
        <v>3.0218089420955812</v>
      </c>
      <c r="AS116" s="71">
        <f t="shared" si="93"/>
        <v>0.12000000000000001</v>
      </c>
      <c r="AT116" s="74">
        <f t="shared" si="94"/>
        <v>3.6299999999999995E-5</v>
      </c>
      <c r="AU116" s="73">
        <f t="shared" si="73"/>
        <v>15.372998196682722</v>
      </c>
      <c r="AV116" s="71">
        <f t="shared" si="74"/>
        <v>233.26000000000002</v>
      </c>
      <c r="AW116" s="74">
        <f t="shared" si="75"/>
        <v>93.816991988922638</v>
      </c>
    </row>
    <row r="117" spans="17:49" x14ac:dyDescent="0.25">
      <c r="Q117">
        <v>110</v>
      </c>
      <c r="R117" s="73">
        <f t="shared" si="49"/>
        <v>53.5</v>
      </c>
      <c r="S117" s="71">
        <f t="shared" si="79"/>
        <v>4.4000000000000004</v>
      </c>
      <c r="T117" s="71">
        <f t="shared" si="51"/>
        <v>11</v>
      </c>
      <c r="U117" s="74">
        <f t="shared" si="80"/>
        <v>21.400000000000002</v>
      </c>
      <c r="V117" s="73">
        <f>IF(Variable_Management!$B$20=3,2,IF((S117*R117/T117)&lt;((T117*(1-(T117/R117)))/(2*Lm*Fsw)),1,2))</f>
        <v>2</v>
      </c>
      <c r="W117" s="71">
        <f t="shared" si="81"/>
        <v>0.79439252336448596</v>
      </c>
      <c r="X117" s="74">
        <f t="shared" si="82"/>
        <v>0.20560747663551404</v>
      </c>
      <c r="Y117" s="73">
        <f t="shared" si="83"/>
        <v>5.8255451713395638</v>
      </c>
      <c r="Z117" s="71">
        <f t="shared" si="77"/>
        <v>24.312772585669784</v>
      </c>
      <c r="AA117" s="71">
        <f t="shared" si="78"/>
        <v>21.46597496920673</v>
      </c>
      <c r="AB117" s="71">
        <v>0</v>
      </c>
      <c r="AC117" s="71">
        <f t="shared" si="84"/>
        <v>1.0598125871708026</v>
      </c>
      <c r="AD117" s="74">
        <f t="shared" si="67"/>
        <v>1.0598125871708026</v>
      </c>
      <c r="AE117" s="73">
        <f t="shared" si="76"/>
        <v>17</v>
      </c>
      <c r="AF117" s="71">
        <f t="shared" si="68"/>
        <v>19.13234451661986</v>
      </c>
      <c r="AG117" s="71">
        <f t="shared" si="85"/>
        <v>1.464186426810536</v>
      </c>
      <c r="AH117" s="71">
        <f t="shared" si="86"/>
        <v>7.4391188048194525</v>
      </c>
      <c r="AI117" s="74">
        <f t="shared" si="69"/>
        <v>8.9033052316299894</v>
      </c>
      <c r="AJ117" s="73">
        <f t="shared" si="70"/>
        <v>4.4000000000000012</v>
      </c>
      <c r="AK117" s="71">
        <f t="shared" si="87"/>
        <v>9.7335232406347014</v>
      </c>
      <c r="AL117" s="71">
        <f t="shared" si="88"/>
        <v>0.37896589870390346</v>
      </c>
      <c r="AM117" s="71">
        <f t="shared" si="95"/>
        <v>0</v>
      </c>
      <c r="AN117" s="188">
        <f t="shared" si="89"/>
        <v>0.29175327102803739</v>
      </c>
      <c r="AO117" s="74">
        <f t="shared" si="72"/>
        <v>0.67071916973194079</v>
      </c>
      <c r="AP117" s="73">
        <f t="shared" si="90"/>
        <v>0.69118212206791485</v>
      </c>
      <c r="AQ117" s="206">
        <f t="shared" si="91"/>
        <v>1.0598125871708026</v>
      </c>
      <c r="AR117" s="206">
        <f t="shared" si="92"/>
        <v>3.0218089420955812</v>
      </c>
      <c r="AS117" s="71">
        <f t="shared" si="93"/>
        <v>0.12000000000000001</v>
      </c>
      <c r="AT117" s="74">
        <f t="shared" si="94"/>
        <v>3.6299999999999995E-5</v>
      </c>
      <c r="AU117" s="73">
        <f t="shared" si="73"/>
        <v>15.526676939867031</v>
      </c>
      <c r="AV117" s="71">
        <f t="shared" si="74"/>
        <v>235.4</v>
      </c>
      <c r="AW117" s="74">
        <f t="shared" si="75"/>
        <v>93.812265348100908</v>
      </c>
    </row>
    <row r="118" spans="17:49" x14ac:dyDescent="0.25">
      <c r="Q118">
        <v>111</v>
      </c>
      <c r="R118" s="73">
        <f t="shared" si="49"/>
        <v>53.5</v>
      </c>
      <c r="S118" s="71">
        <f t="shared" si="79"/>
        <v>4.4400000000000004</v>
      </c>
      <c r="T118" s="71">
        <f t="shared" si="51"/>
        <v>11</v>
      </c>
      <c r="U118" s="74">
        <f t="shared" si="80"/>
        <v>21.594545454545457</v>
      </c>
      <c r="V118" s="73">
        <f>IF(Variable_Management!$B$20=3,2,IF((S118*R118/T118)&lt;((T118*(1-(T118/R118)))/(2*Lm*Fsw)),1,2))</f>
        <v>2</v>
      </c>
      <c r="W118" s="71">
        <f t="shared" si="81"/>
        <v>0.79439252336448596</v>
      </c>
      <c r="X118" s="74">
        <f t="shared" si="82"/>
        <v>0.20560747663551404</v>
      </c>
      <c r="Y118" s="73">
        <f t="shared" si="83"/>
        <v>5.8255451713395638</v>
      </c>
      <c r="Z118" s="71">
        <f t="shared" si="77"/>
        <v>24.507318040215239</v>
      </c>
      <c r="AA118" s="71">
        <f t="shared" si="78"/>
        <v>21.659927856921399</v>
      </c>
      <c r="AB118" s="71">
        <v>0</v>
      </c>
      <c r="AC118" s="71">
        <f t="shared" si="84"/>
        <v>1.0790506919641911</v>
      </c>
      <c r="AD118" s="74">
        <f t="shared" si="67"/>
        <v>1.0790506919641911</v>
      </c>
      <c r="AE118" s="73">
        <f t="shared" si="76"/>
        <v>17.154545454545456</v>
      </c>
      <c r="AF118" s="71">
        <f t="shared" si="68"/>
        <v>19.305212204813547</v>
      </c>
      <c r="AG118" s="71">
        <f t="shared" si="85"/>
        <v>1.4907648730915277</v>
      </c>
      <c r="AH118" s="71">
        <f t="shared" si="86"/>
        <v>7.5067471575905396</v>
      </c>
      <c r="AI118" s="74">
        <f t="shared" si="69"/>
        <v>8.9975120306820671</v>
      </c>
      <c r="AJ118" s="73">
        <f t="shared" si="70"/>
        <v>4.4400000000000013</v>
      </c>
      <c r="AK118" s="71">
        <f t="shared" si="87"/>
        <v>9.8214691616966192</v>
      </c>
      <c r="AL118" s="71">
        <f t="shared" si="88"/>
        <v>0.38584502597663078</v>
      </c>
      <c r="AM118" s="71">
        <f t="shared" si="95"/>
        <v>0</v>
      </c>
      <c r="AN118" s="188">
        <f t="shared" si="89"/>
        <v>0.29408781648258286</v>
      </c>
      <c r="AO118" s="74">
        <f t="shared" si="72"/>
        <v>0.6799328424592137</v>
      </c>
      <c r="AP118" s="73">
        <f t="shared" si="90"/>
        <v>0.70372871215055943</v>
      </c>
      <c r="AQ118" s="206">
        <f t="shared" si="91"/>
        <v>1.0790506919641911</v>
      </c>
      <c r="AR118" s="206">
        <f t="shared" si="92"/>
        <v>3.0218089420955812</v>
      </c>
      <c r="AS118" s="71">
        <f t="shared" si="93"/>
        <v>0.12000000000000001</v>
      </c>
      <c r="AT118" s="74">
        <f t="shared" si="94"/>
        <v>3.6299999999999995E-5</v>
      </c>
      <c r="AU118" s="73">
        <f t="shared" si="73"/>
        <v>15.681120211315804</v>
      </c>
      <c r="AV118" s="71">
        <f t="shared" si="74"/>
        <v>237.54000000000002</v>
      </c>
      <c r="AW118" s="74">
        <f t="shared" si="75"/>
        <v>93.807341110319015</v>
      </c>
    </row>
    <row r="119" spans="17:49" x14ac:dyDescent="0.25">
      <c r="Q119">
        <v>112</v>
      </c>
      <c r="R119" s="73">
        <f t="shared" si="49"/>
        <v>53.5</v>
      </c>
      <c r="S119" s="71">
        <f t="shared" si="79"/>
        <v>4.4800000000000004</v>
      </c>
      <c r="T119" s="71">
        <f t="shared" si="51"/>
        <v>11</v>
      </c>
      <c r="U119" s="74">
        <f t="shared" si="80"/>
        <v>21.789090909090913</v>
      </c>
      <c r="V119" s="73">
        <f>IF(Variable_Management!$B$20=3,2,IF((S119*R119/T119)&lt;((T119*(1-(T119/R119)))/(2*Lm*Fsw)),1,2))</f>
        <v>2</v>
      </c>
      <c r="W119" s="71">
        <f t="shared" si="81"/>
        <v>0.79439252336448596</v>
      </c>
      <c r="X119" s="74">
        <f t="shared" si="82"/>
        <v>0.20560747663551404</v>
      </c>
      <c r="Y119" s="73">
        <f t="shared" si="83"/>
        <v>5.8255451713395638</v>
      </c>
      <c r="Z119" s="71">
        <f t="shared" si="77"/>
        <v>24.701863494760694</v>
      </c>
      <c r="AA119" s="71">
        <f t="shared" si="78"/>
        <v>21.853891278745714</v>
      </c>
      <c r="AB119" s="71">
        <v>0</v>
      </c>
      <c r="AC119" s="71">
        <f t="shared" si="84"/>
        <v>1.0984628972534474</v>
      </c>
      <c r="AD119" s="74">
        <f t="shared" si="67"/>
        <v>1.0984628972534474</v>
      </c>
      <c r="AE119" s="73">
        <f t="shared" si="76"/>
        <v>17.309090909090912</v>
      </c>
      <c r="AF119" s="71">
        <f t="shared" si="68"/>
        <v>19.478089281922262</v>
      </c>
      <c r="AG119" s="71">
        <f t="shared" si="85"/>
        <v>1.5175838482981396</v>
      </c>
      <c r="AH119" s="71">
        <f t="shared" si="86"/>
        <v>7.5743755103616266</v>
      </c>
      <c r="AI119" s="74">
        <f t="shared" si="69"/>
        <v>9.091959358659766</v>
      </c>
      <c r="AJ119" s="73">
        <f t="shared" si="70"/>
        <v>4.4800000000000013</v>
      </c>
      <c r="AK119" s="71">
        <f t="shared" si="87"/>
        <v>9.9094198593410692</v>
      </c>
      <c r="AL119" s="71">
        <f t="shared" si="88"/>
        <v>0.39278640779481272</v>
      </c>
      <c r="AM119" s="71">
        <f t="shared" si="95"/>
        <v>0</v>
      </c>
      <c r="AN119" s="188">
        <f t="shared" si="89"/>
        <v>0.29642236193712834</v>
      </c>
      <c r="AO119" s="74">
        <f t="shared" si="72"/>
        <v>0.68920876973194112</v>
      </c>
      <c r="AP119" s="73">
        <f t="shared" si="90"/>
        <v>0.71638884603485697</v>
      </c>
      <c r="AQ119" s="206">
        <f t="shared" si="91"/>
        <v>1.0984628972534474</v>
      </c>
      <c r="AR119" s="206">
        <f t="shared" si="92"/>
        <v>3.0218089420955812</v>
      </c>
      <c r="AS119" s="71">
        <f t="shared" si="93"/>
        <v>0.12000000000000001</v>
      </c>
      <c r="AT119" s="74">
        <f t="shared" si="94"/>
        <v>3.6299999999999995E-5</v>
      </c>
      <c r="AU119" s="73">
        <f t="shared" si="73"/>
        <v>15.836328011029039</v>
      </c>
      <c r="AV119" s="71">
        <f t="shared" si="74"/>
        <v>239.68000000000004</v>
      </c>
      <c r="AW119" s="74">
        <f t="shared" si="75"/>
        <v>93.802224642823802</v>
      </c>
    </row>
    <row r="120" spans="17:49" x14ac:dyDescent="0.25">
      <c r="Q120">
        <v>113</v>
      </c>
      <c r="R120" s="73">
        <f t="shared" si="49"/>
        <v>53.5</v>
      </c>
      <c r="S120" s="71">
        <f t="shared" si="79"/>
        <v>4.5200000000000005</v>
      </c>
      <c r="T120" s="71">
        <f t="shared" si="51"/>
        <v>11</v>
      </c>
      <c r="U120" s="74">
        <f t="shared" si="80"/>
        <v>21.983636363636364</v>
      </c>
      <c r="V120" s="73">
        <f>IF(Variable_Management!$B$20=3,2,IF((S120*R120/T120)&lt;((T120*(1-(T120/R120)))/(2*Lm*Fsw)),1,2))</f>
        <v>2</v>
      </c>
      <c r="W120" s="71">
        <f t="shared" si="81"/>
        <v>0.79439252336448596</v>
      </c>
      <c r="X120" s="74">
        <f t="shared" si="82"/>
        <v>0.20560747663551404</v>
      </c>
      <c r="Y120" s="73">
        <f t="shared" si="83"/>
        <v>5.8255451713395638</v>
      </c>
      <c r="Z120" s="71">
        <f t="shared" si="77"/>
        <v>24.896408949306146</v>
      </c>
      <c r="AA120" s="71">
        <f t="shared" si="78"/>
        <v>22.047864956662014</v>
      </c>
      <c r="AB120" s="71">
        <v>0</v>
      </c>
      <c r="AC120" s="71">
        <f t="shared" si="84"/>
        <v>1.1180492030385711</v>
      </c>
      <c r="AD120" s="74">
        <f t="shared" si="67"/>
        <v>1.1180492030385711</v>
      </c>
      <c r="AE120" s="73">
        <f t="shared" si="76"/>
        <v>17.463636363636365</v>
      </c>
      <c r="AF120" s="71">
        <f t="shared" si="68"/>
        <v>19.65097550015247</v>
      </c>
      <c r="AG120" s="71">
        <f t="shared" si="85"/>
        <v>1.5446433524303704</v>
      </c>
      <c r="AH120" s="71">
        <f t="shared" si="86"/>
        <v>7.642003863132711</v>
      </c>
      <c r="AI120" s="74">
        <f t="shared" si="69"/>
        <v>9.1866472155630809</v>
      </c>
      <c r="AJ120" s="73">
        <f t="shared" si="70"/>
        <v>4.5200000000000005</v>
      </c>
      <c r="AK120" s="71">
        <f t="shared" si="87"/>
        <v>9.9973752075038291</v>
      </c>
      <c r="AL120" s="71">
        <f t="shared" si="88"/>
        <v>0.39979004415844893</v>
      </c>
      <c r="AM120" s="71">
        <f t="shared" si="95"/>
        <v>0</v>
      </c>
      <c r="AN120" s="188">
        <f t="shared" si="89"/>
        <v>0.29875690739167376</v>
      </c>
      <c r="AO120" s="74">
        <f t="shared" si="72"/>
        <v>0.6985469515501227</v>
      </c>
      <c r="AP120" s="73">
        <f t="shared" si="90"/>
        <v>0.72916252372080737</v>
      </c>
      <c r="AQ120" s="206">
        <f t="shared" si="91"/>
        <v>1.1180492030385711</v>
      </c>
      <c r="AR120" s="206">
        <f t="shared" si="92"/>
        <v>3.0218089420955812</v>
      </c>
      <c r="AS120" s="71">
        <f t="shared" si="93"/>
        <v>0.12000000000000001</v>
      </c>
      <c r="AT120" s="74">
        <f t="shared" si="94"/>
        <v>3.6299999999999995E-5</v>
      </c>
      <c r="AU120" s="73">
        <f t="shared" si="73"/>
        <v>15.992300339006736</v>
      </c>
      <c r="AV120" s="71">
        <f t="shared" si="74"/>
        <v>241.82000000000002</v>
      </c>
      <c r="AW120" s="74">
        <f t="shared" si="75"/>
        <v>93.796921125183758</v>
      </c>
    </row>
    <row r="121" spans="17:49" x14ac:dyDescent="0.25">
      <c r="Q121">
        <v>114</v>
      </c>
      <c r="R121" s="73">
        <f t="shared" si="49"/>
        <v>53.5</v>
      </c>
      <c r="S121" s="71">
        <f t="shared" si="79"/>
        <v>4.5600000000000005</v>
      </c>
      <c r="T121" s="71">
        <f t="shared" si="51"/>
        <v>11</v>
      </c>
      <c r="U121" s="74">
        <f t="shared" si="80"/>
        <v>22.178181818181823</v>
      </c>
      <c r="V121" s="73">
        <f>IF(Variable_Management!$B$20=3,2,IF((S121*R121/T121)&lt;((T121*(1-(T121/R121)))/(2*Lm*Fsw)),1,2))</f>
        <v>2</v>
      </c>
      <c r="W121" s="71">
        <f t="shared" si="81"/>
        <v>0.79439252336448596</v>
      </c>
      <c r="X121" s="74">
        <f t="shared" si="82"/>
        <v>0.20560747663551404</v>
      </c>
      <c r="Y121" s="73">
        <f t="shared" si="83"/>
        <v>5.8255451713395638</v>
      </c>
      <c r="Z121" s="71">
        <f t="shared" si="77"/>
        <v>25.090954403851605</v>
      </c>
      <c r="AA121" s="71">
        <f t="shared" si="78"/>
        <v>22.24184862233669</v>
      </c>
      <c r="AB121" s="71">
        <v>0</v>
      </c>
      <c r="AC121" s="71">
        <f t="shared" si="84"/>
        <v>1.1378096093195631</v>
      </c>
      <c r="AD121" s="74">
        <f t="shared" si="67"/>
        <v>1.1378096093195631</v>
      </c>
      <c r="AE121" s="73">
        <f t="shared" si="76"/>
        <v>17.618181818181821</v>
      </c>
      <c r="AF121" s="71">
        <f t="shared" si="68"/>
        <v>19.823870620341921</v>
      </c>
      <c r="AG121" s="71">
        <f t="shared" si="85"/>
        <v>1.5719433854882223</v>
      </c>
      <c r="AH121" s="71">
        <f t="shared" si="86"/>
        <v>7.709632215903798</v>
      </c>
      <c r="AI121" s="74">
        <f t="shared" si="69"/>
        <v>9.2815756013920208</v>
      </c>
      <c r="AJ121" s="73">
        <f t="shared" si="70"/>
        <v>4.5600000000000014</v>
      </c>
      <c r="AK121" s="71">
        <f t="shared" si="87"/>
        <v>10.085335084511817</v>
      </c>
      <c r="AL121" s="71">
        <f t="shared" si="88"/>
        <v>0.40685593506753992</v>
      </c>
      <c r="AM121" s="71">
        <f t="shared" si="95"/>
        <v>0</v>
      </c>
      <c r="AN121" s="188">
        <f t="shared" si="89"/>
        <v>0.30109145284621924</v>
      </c>
      <c r="AO121" s="74">
        <f t="shared" si="72"/>
        <v>0.70794738791375922</v>
      </c>
      <c r="AP121" s="73">
        <f t="shared" si="90"/>
        <v>0.74204974520841083</v>
      </c>
      <c r="AQ121" s="206">
        <f t="shared" si="91"/>
        <v>1.1378096093195631</v>
      </c>
      <c r="AR121" s="206">
        <f t="shared" si="92"/>
        <v>3.0218089420955812</v>
      </c>
      <c r="AS121" s="71">
        <f t="shared" si="93"/>
        <v>0.12000000000000001</v>
      </c>
      <c r="AT121" s="74">
        <f t="shared" si="94"/>
        <v>3.6299999999999995E-5</v>
      </c>
      <c r="AU121" s="73">
        <f t="shared" si="73"/>
        <v>16.149037195248898</v>
      </c>
      <c r="AV121" s="71">
        <f t="shared" si="74"/>
        <v>243.96000000000004</v>
      </c>
      <c r="AW121" s="74">
        <f t="shared" si="75"/>
        <v>93.791435557417117</v>
      </c>
    </row>
    <row r="122" spans="17:49" x14ac:dyDescent="0.25">
      <c r="Q122">
        <v>115</v>
      </c>
      <c r="R122" s="73">
        <f t="shared" si="49"/>
        <v>53.5</v>
      </c>
      <c r="S122" s="71">
        <f t="shared" si="79"/>
        <v>4.6000000000000005</v>
      </c>
      <c r="T122" s="71">
        <f t="shared" si="51"/>
        <v>11</v>
      </c>
      <c r="U122" s="74">
        <f t="shared" si="80"/>
        <v>22.372727272727275</v>
      </c>
      <c r="V122" s="73">
        <f>IF(Variable_Management!$B$20=3,2,IF((S122*R122/T122)&lt;((T122*(1-(T122/R122)))/(2*Lm*Fsw)),1,2))</f>
        <v>2</v>
      </c>
      <c r="W122" s="71">
        <f t="shared" si="81"/>
        <v>0.79439252336448596</v>
      </c>
      <c r="X122" s="74">
        <f t="shared" si="82"/>
        <v>0.20560747663551404</v>
      </c>
      <c r="Y122" s="73">
        <f t="shared" si="83"/>
        <v>5.8255451713395638</v>
      </c>
      <c r="Z122" s="71">
        <f t="shared" si="77"/>
        <v>25.285499858397056</v>
      </c>
      <c r="AA122" s="71">
        <f t="shared" si="78"/>
        <v>22.43584201670275</v>
      </c>
      <c r="AB122" s="71">
        <v>0</v>
      </c>
      <c r="AC122" s="71">
        <f t="shared" si="84"/>
        <v>1.1577441160964224</v>
      </c>
      <c r="AD122" s="74">
        <f t="shared" si="67"/>
        <v>1.1577441160964224</v>
      </c>
      <c r="AE122" s="73">
        <f t="shared" si="76"/>
        <v>17.772727272727273</v>
      </c>
      <c r="AF122" s="71">
        <f t="shared" si="68"/>
        <v>19.996774411587566</v>
      </c>
      <c r="AG122" s="71">
        <f t="shared" si="85"/>
        <v>1.5994839474716931</v>
      </c>
      <c r="AH122" s="71">
        <f t="shared" si="86"/>
        <v>7.7772605686748832</v>
      </c>
      <c r="AI122" s="74">
        <f t="shared" si="69"/>
        <v>9.3767445161465766</v>
      </c>
      <c r="AJ122" s="73">
        <f t="shared" si="70"/>
        <v>4.6000000000000005</v>
      </c>
      <c r="AK122" s="71">
        <f t="shared" si="87"/>
        <v>10.173299372893796</v>
      </c>
      <c r="AL122" s="71">
        <f t="shared" si="88"/>
        <v>0.41398408052208524</v>
      </c>
      <c r="AM122" s="71">
        <f t="shared" si="95"/>
        <v>0</v>
      </c>
      <c r="AN122" s="188">
        <f t="shared" si="89"/>
        <v>0.30342599830076467</v>
      </c>
      <c r="AO122" s="74">
        <f t="shared" si="72"/>
        <v>0.71741007882284991</v>
      </c>
      <c r="AP122" s="73">
        <f t="shared" si="90"/>
        <v>0.7550505104976668</v>
      </c>
      <c r="AQ122" s="206">
        <f t="shared" si="91"/>
        <v>1.1577441160964224</v>
      </c>
      <c r="AR122" s="206">
        <f t="shared" si="92"/>
        <v>3.0218089420955812</v>
      </c>
      <c r="AS122" s="71">
        <f t="shared" si="93"/>
        <v>0.12000000000000001</v>
      </c>
      <c r="AT122" s="74">
        <f t="shared" si="94"/>
        <v>3.6299999999999995E-5</v>
      </c>
      <c r="AU122" s="73">
        <f t="shared" si="73"/>
        <v>16.306538579755518</v>
      </c>
      <c r="AV122" s="71">
        <f t="shared" si="74"/>
        <v>246.10000000000002</v>
      </c>
      <c r="AW122" s="74">
        <f t="shared" si="75"/>
        <v>93.785772767701317</v>
      </c>
    </row>
    <row r="123" spans="17:49" x14ac:dyDescent="0.25">
      <c r="Q123">
        <v>116</v>
      </c>
      <c r="R123" s="73">
        <f t="shared" si="49"/>
        <v>53.5</v>
      </c>
      <c r="S123" s="71">
        <f t="shared" si="79"/>
        <v>4.6399999999999997</v>
      </c>
      <c r="T123" s="71">
        <f t="shared" si="51"/>
        <v>11</v>
      </c>
      <c r="U123" s="74">
        <f t="shared" si="80"/>
        <v>22.567272727272726</v>
      </c>
      <c r="V123" s="73">
        <f>IF(Variable_Management!$B$20=3,2,IF((S123*R123/T123)&lt;((T123*(1-(T123/R123)))/(2*Lm*Fsw)),1,2))</f>
        <v>2</v>
      </c>
      <c r="W123" s="71">
        <f t="shared" si="81"/>
        <v>0.79439252336448596</v>
      </c>
      <c r="X123" s="74">
        <f t="shared" si="82"/>
        <v>0.20560747663551404</v>
      </c>
      <c r="Y123" s="73">
        <f t="shared" si="83"/>
        <v>5.8255451713395638</v>
      </c>
      <c r="Z123" s="71">
        <f t="shared" si="77"/>
        <v>25.480045312942508</v>
      </c>
      <c r="AA123" s="71">
        <f t="shared" si="78"/>
        <v>22.629844889563806</v>
      </c>
      <c r="AB123" s="71">
        <v>0</v>
      </c>
      <c r="AC123" s="71">
        <f t="shared" si="84"/>
        <v>1.1778527233691491</v>
      </c>
      <c r="AD123" s="74">
        <f t="shared" si="67"/>
        <v>1.1778527233691491</v>
      </c>
      <c r="AE123" s="73">
        <f t="shared" si="76"/>
        <v>17.927272727272726</v>
      </c>
      <c r="AF123" s="71">
        <f t="shared" si="68"/>
        <v>20.169686650892615</v>
      </c>
      <c r="AG123" s="71">
        <f t="shared" si="85"/>
        <v>1.627265038380783</v>
      </c>
      <c r="AH123" s="71">
        <f t="shared" si="86"/>
        <v>7.8448889214459676</v>
      </c>
      <c r="AI123" s="74">
        <f t="shared" si="69"/>
        <v>9.4721539598267501</v>
      </c>
      <c r="AJ123" s="73">
        <f t="shared" si="70"/>
        <v>4.6400000000000006</v>
      </c>
      <c r="AK123" s="71">
        <f t="shared" si="87"/>
        <v>10.261267959200817</v>
      </c>
      <c r="AL123" s="71">
        <f t="shared" si="88"/>
        <v>0.42117448052208517</v>
      </c>
      <c r="AM123" s="71">
        <f t="shared" si="95"/>
        <v>0</v>
      </c>
      <c r="AN123" s="188">
        <f t="shared" si="89"/>
        <v>0.30576054375531009</v>
      </c>
      <c r="AO123" s="74">
        <f t="shared" si="72"/>
        <v>0.72693502427739531</v>
      </c>
      <c r="AP123" s="73">
        <f t="shared" si="90"/>
        <v>0.76816481958857563</v>
      </c>
      <c r="AQ123" s="206">
        <f t="shared" si="91"/>
        <v>1.1778527233691491</v>
      </c>
      <c r="AR123" s="206">
        <f t="shared" si="92"/>
        <v>3.0218089420955812</v>
      </c>
      <c r="AS123" s="71">
        <f t="shared" si="93"/>
        <v>0.12000000000000001</v>
      </c>
      <c r="AT123" s="74">
        <f t="shared" si="94"/>
        <v>3.6299999999999995E-5</v>
      </c>
      <c r="AU123" s="73">
        <f t="shared" si="73"/>
        <v>16.4648044925266</v>
      </c>
      <c r="AV123" s="71">
        <f t="shared" si="74"/>
        <v>248.23999999999998</v>
      </c>
      <c r="AW123" s="74">
        <f t="shared" si="75"/>
        <v>93.779937419688409</v>
      </c>
    </row>
    <row r="124" spans="17:49" x14ac:dyDescent="0.25">
      <c r="Q124">
        <v>117</v>
      </c>
      <c r="R124" s="73">
        <f t="shared" si="49"/>
        <v>53.5</v>
      </c>
      <c r="S124" s="71">
        <f t="shared" si="79"/>
        <v>4.68</v>
      </c>
      <c r="T124" s="71">
        <f t="shared" si="51"/>
        <v>11</v>
      </c>
      <c r="U124" s="74">
        <f t="shared" si="80"/>
        <v>22.761818181818182</v>
      </c>
      <c r="V124" s="73">
        <f>IF(Variable_Management!$B$20=3,2,IF((S124*R124/T124)&lt;((T124*(1-(T124/R124)))/(2*Lm*Fsw)),1,2))</f>
        <v>2</v>
      </c>
      <c r="W124" s="71">
        <f t="shared" si="81"/>
        <v>0.79439252336448596</v>
      </c>
      <c r="X124" s="74">
        <f t="shared" si="82"/>
        <v>0.20560747663551404</v>
      </c>
      <c r="Y124" s="73">
        <f t="shared" si="83"/>
        <v>5.8255451713395638</v>
      </c>
      <c r="Z124" s="71">
        <f t="shared" si="77"/>
        <v>25.674590767487963</v>
      </c>
      <c r="AA124" s="71">
        <f t="shared" si="78"/>
        <v>22.823856999218133</v>
      </c>
      <c r="AB124" s="71">
        <v>0</v>
      </c>
      <c r="AC124" s="71">
        <f t="shared" si="84"/>
        <v>1.1981354311377446</v>
      </c>
      <c r="AD124" s="74">
        <f t="shared" si="67"/>
        <v>1.1981354311377446</v>
      </c>
      <c r="AE124" s="73">
        <f t="shared" si="76"/>
        <v>18.081818181818182</v>
      </c>
      <c r="AF124" s="71">
        <f t="shared" si="68"/>
        <v>20.342607122831467</v>
      </c>
      <c r="AG124" s="71">
        <f t="shared" si="85"/>
        <v>1.6552866582154941</v>
      </c>
      <c r="AH124" s="71">
        <f t="shared" si="86"/>
        <v>7.9125172742170546</v>
      </c>
      <c r="AI124" s="74">
        <f t="shared" si="69"/>
        <v>9.5678039324325486</v>
      </c>
      <c r="AJ124" s="73">
        <f t="shared" si="70"/>
        <v>4.6800000000000006</v>
      </c>
      <c r="AK124" s="71">
        <f t="shared" si="87"/>
        <v>10.349240733835741</v>
      </c>
      <c r="AL124" s="71">
        <f t="shared" si="88"/>
        <v>0.42842713506753977</v>
      </c>
      <c r="AM124" s="71">
        <f t="shared" si="95"/>
        <v>0</v>
      </c>
      <c r="AN124" s="188">
        <f t="shared" si="89"/>
        <v>0.30809508920985557</v>
      </c>
      <c r="AO124" s="74">
        <f t="shared" si="72"/>
        <v>0.73652222427739533</v>
      </c>
      <c r="AP124" s="73">
        <f t="shared" si="90"/>
        <v>0.78139267248113786</v>
      </c>
      <c r="AQ124" s="206">
        <f t="shared" si="91"/>
        <v>1.1981354311377446</v>
      </c>
      <c r="AR124" s="206">
        <f t="shared" si="92"/>
        <v>3.0218089420955812</v>
      </c>
      <c r="AS124" s="71">
        <f t="shared" si="93"/>
        <v>0.12000000000000001</v>
      </c>
      <c r="AT124" s="74">
        <f t="shared" si="94"/>
        <v>3.6299999999999995E-5</v>
      </c>
      <c r="AU124" s="73">
        <f t="shared" si="73"/>
        <v>16.623834933562151</v>
      </c>
      <c r="AV124" s="71">
        <f t="shared" si="74"/>
        <v>250.38</v>
      </c>
      <c r="AW124" s="74">
        <f t="shared" si="75"/>
        <v>93.773934019450095</v>
      </c>
    </row>
    <row r="125" spans="17:49" x14ac:dyDescent="0.25">
      <c r="Q125">
        <v>118</v>
      </c>
      <c r="R125" s="73">
        <f t="shared" si="49"/>
        <v>53.5</v>
      </c>
      <c r="S125" s="71">
        <f t="shared" si="79"/>
        <v>4.72</v>
      </c>
      <c r="T125" s="71">
        <f t="shared" si="51"/>
        <v>11</v>
      </c>
      <c r="U125" s="74">
        <f t="shared" si="80"/>
        <v>22.956363636363633</v>
      </c>
      <c r="V125" s="73">
        <f>IF(Variable_Management!$B$20=3,2,IF((S125*R125/T125)&lt;((T125*(1-(T125/R125)))/(2*Lm*Fsw)),1,2))</f>
        <v>2</v>
      </c>
      <c r="W125" s="71">
        <f t="shared" si="81"/>
        <v>0.79439252336448596</v>
      </c>
      <c r="X125" s="74">
        <f t="shared" si="82"/>
        <v>0.20560747663551404</v>
      </c>
      <c r="Y125" s="73">
        <f t="shared" si="83"/>
        <v>5.8255451713395638</v>
      </c>
      <c r="Z125" s="71">
        <f t="shared" si="77"/>
        <v>25.869136222033415</v>
      </c>
      <c r="AA125" s="71">
        <f t="shared" si="78"/>
        <v>23.017878112101652</v>
      </c>
      <c r="AB125" s="71">
        <v>0</v>
      </c>
      <c r="AC125" s="71">
        <f t="shared" si="84"/>
        <v>1.2185922394022073</v>
      </c>
      <c r="AD125" s="74">
        <f t="shared" si="67"/>
        <v>1.2185922394022073</v>
      </c>
      <c r="AE125" s="73">
        <f t="shared" si="76"/>
        <v>18.236363636363635</v>
      </c>
      <c r="AF125" s="71">
        <f t="shared" si="68"/>
        <v>20.515535619231493</v>
      </c>
      <c r="AG125" s="71">
        <f t="shared" si="85"/>
        <v>1.6835488069758244</v>
      </c>
      <c r="AH125" s="71">
        <f t="shared" si="86"/>
        <v>7.9801456269881399</v>
      </c>
      <c r="AI125" s="74">
        <f t="shared" si="69"/>
        <v>9.6636944339639648</v>
      </c>
      <c r="AJ125" s="73">
        <f t="shared" si="70"/>
        <v>4.72</v>
      </c>
      <c r="AK125" s="71">
        <f t="shared" si="87"/>
        <v>10.437217590891366</v>
      </c>
      <c r="AL125" s="71">
        <f t="shared" si="88"/>
        <v>0.43574204415844875</v>
      </c>
      <c r="AM125" s="71">
        <f t="shared" si="95"/>
        <v>0</v>
      </c>
      <c r="AN125" s="188">
        <f t="shared" si="89"/>
        <v>0.31042963466440099</v>
      </c>
      <c r="AO125" s="74">
        <f t="shared" si="72"/>
        <v>0.74617167882284974</v>
      </c>
      <c r="AP125" s="73">
        <f t="shared" si="90"/>
        <v>0.79473406917535261</v>
      </c>
      <c r="AQ125" s="206">
        <f t="shared" si="91"/>
        <v>1.2185922394022073</v>
      </c>
      <c r="AR125" s="206">
        <f t="shared" si="92"/>
        <v>3.0218089420955812</v>
      </c>
      <c r="AS125" s="71">
        <f t="shared" si="93"/>
        <v>0.12000000000000001</v>
      </c>
      <c r="AT125" s="74">
        <f t="shared" si="94"/>
        <v>3.6299999999999995E-5</v>
      </c>
      <c r="AU125" s="73">
        <f t="shared" si="73"/>
        <v>16.783629902862163</v>
      </c>
      <c r="AV125" s="71">
        <f t="shared" si="74"/>
        <v>252.51999999999998</v>
      </c>
      <c r="AW125" s="74">
        <f t="shared" si="75"/>
        <v>93.767766922073776</v>
      </c>
    </row>
    <row r="126" spans="17:49" x14ac:dyDescent="0.25">
      <c r="Q126">
        <v>119</v>
      </c>
      <c r="R126" s="73">
        <f t="shared" si="49"/>
        <v>53.5</v>
      </c>
      <c r="S126" s="71">
        <f t="shared" si="79"/>
        <v>4.76</v>
      </c>
      <c r="T126" s="71">
        <f t="shared" si="51"/>
        <v>11</v>
      </c>
      <c r="U126" s="74">
        <f t="shared" si="80"/>
        <v>23.150909090909092</v>
      </c>
      <c r="V126" s="73">
        <f>IF(Variable_Management!$B$20=3,2,IF((S126*R126/T126)&lt;((T126*(1-(T126/R126)))/(2*Lm*Fsw)),1,2))</f>
        <v>2</v>
      </c>
      <c r="W126" s="71">
        <f t="shared" si="81"/>
        <v>0.79439252336448596</v>
      </c>
      <c r="X126" s="74">
        <f t="shared" si="82"/>
        <v>0.20560747663551404</v>
      </c>
      <c r="Y126" s="73">
        <f t="shared" si="83"/>
        <v>5.8255451713395638</v>
      </c>
      <c r="Z126" s="71">
        <f t="shared" si="77"/>
        <v>26.063681676578874</v>
      </c>
      <c r="AA126" s="71">
        <f t="shared" si="78"/>
        <v>23.211908002448808</v>
      </c>
      <c r="AB126" s="71">
        <v>0</v>
      </c>
      <c r="AC126" s="71">
        <f t="shared" si="84"/>
        <v>1.2392231481625382</v>
      </c>
      <c r="AD126" s="74">
        <f t="shared" si="67"/>
        <v>1.2392231481625382</v>
      </c>
      <c r="AE126" s="73">
        <f t="shared" si="76"/>
        <v>18.390909090909091</v>
      </c>
      <c r="AF126" s="71">
        <f t="shared" si="68"/>
        <v>20.688471938870784</v>
      </c>
      <c r="AG126" s="71">
        <f t="shared" si="85"/>
        <v>1.7120514846617756</v>
      </c>
      <c r="AH126" s="71">
        <f t="shared" si="86"/>
        <v>8.047773979759226</v>
      </c>
      <c r="AI126" s="74">
        <f t="shared" si="69"/>
        <v>9.7598254644210023</v>
      </c>
      <c r="AJ126" s="73">
        <f t="shared" si="70"/>
        <v>4.7600000000000007</v>
      </c>
      <c r="AK126" s="71">
        <f t="shared" si="87"/>
        <v>10.525198427996649</v>
      </c>
      <c r="AL126" s="71">
        <f t="shared" si="88"/>
        <v>0.44311920779481256</v>
      </c>
      <c r="AM126" s="71">
        <f t="shared" si="95"/>
        <v>0</v>
      </c>
      <c r="AN126" s="188">
        <f t="shared" si="89"/>
        <v>0.31276418011894647</v>
      </c>
      <c r="AO126" s="74">
        <f t="shared" si="72"/>
        <v>0.75588338791375898</v>
      </c>
      <c r="AP126" s="73">
        <f t="shared" si="90"/>
        <v>0.80818900967122065</v>
      </c>
      <c r="AQ126" s="206">
        <f t="shared" si="91"/>
        <v>1.2392231481625382</v>
      </c>
      <c r="AR126" s="206">
        <f t="shared" si="92"/>
        <v>3.0218089420955812</v>
      </c>
      <c r="AS126" s="71">
        <f t="shared" si="93"/>
        <v>0.12000000000000001</v>
      </c>
      <c r="AT126" s="74">
        <f t="shared" si="94"/>
        <v>3.6299999999999995E-5</v>
      </c>
      <c r="AU126" s="73">
        <f t="shared" si="73"/>
        <v>16.944189400426637</v>
      </c>
      <c r="AV126" s="71">
        <f t="shared" si="74"/>
        <v>254.66</v>
      </c>
      <c r="AW126" s="74">
        <f t="shared" si="75"/>
        <v>93.761440337930196</v>
      </c>
    </row>
    <row r="127" spans="17:49" x14ac:dyDescent="0.25">
      <c r="Q127">
        <v>120</v>
      </c>
      <c r="R127" s="73">
        <f t="shared" si="49"/>
        <v>53.5</v>
      </c>
      <c r="S127" s="71">
        <f t="shared" si="79"/>
        <v>4.8</v>
      </c>
      <c r="T127" s="71">
        <f t="shared" si="51"/>
        <v>11</v>
      </c>
      <c r="U127" s="74">
        <f t="shared" si="80"/>
        <v>23.345454545454547</v>
      </c>
      <c r="V127" s="73">
        <f>IF(Variable_Management!$B$20=3,2,IF((S127*R127/T127)&lt;((T127*(1-(T127/R127)))/(2*Lm*Fsw)),1,2))</f>
        <v>2</v>
      </c>
      <c r="W127" s="71">
        <f t="shared" si="81"/>
        <v>0.79439252336448596</v>
      </c>
      <c r="X127" s="74">
        <f t="shared" si="82"/>
        <v>0.20560747663551404</v>
      </c>
      <c r="Y127" s="73">
        <f t="shared" si="83"/>
        <v>5.8255451713395638</v>
      </c>
      <c r="Z127" s="71">
        <f t="shared" si="77"/>
        <v>26.258227131124329</v>
      </c>
      <c r="AA127" s="71">
        <f t="shared" si="78"/>
        <v>23.405946451970156</v>
      </c>
      <c r="AB127" s="71">
        <v>0</v>
      </c>
      <c r="AC127" s="71">
        <f t="shared" si="84"/>
        <v>1.2600281574187371</v>
      </c>
      <c r="AD127" s="74">
        <f t="shared" si="67"/>
        <v>1.2600281574187371</v>
      </c>
      <c r="AE127" s="73">
        <f t="shared" si="76"/>
        <v>18.545454545454547</v>
      </c>
      <c r="AF127" s="71">
        <f t="shared" si="68"/>
        <v>20.861415887190795</v>
      </c>
      <c r="AG127" s="71">
        <f t="shared" si="85"/>
        <v>1.7407946912733461</v>
      </c>
      <c r="AH127" s="71">
        <f t="shared" si="86"/>
        <v>8.1154023325303122</v>
      </c>
      <c r="AI127" s="74">
        <f t="shared" si="69"/>
        <v>9.8561970238036576</v>
      </c>
      <c r="AJ127" s="73">
        <f t="shared" si="70"/>
        <v>4.8000000000000007</v>
      </c>
      <c r="AK127" s="71">
        <f t="shared" si="87"/>
        <v>10.613183146170506</v>
      </c>
      <c r="AL127" s="71">
        <f t="shared" si="88"/>
        <v>0.45055862597663071</v>
      </c>
      <c r="AM127" s="71">
        <f t="shared" si="95"/>
        <v>0</v>
      </c>
      <c r="AN127" s="188">
        <f t="shared" si="89"/>
        <v>0.31509872557349194</v>
      </c>
      <c r="AO127" s="74">
        <f t="shared" si="72"/>
        <v>0.7656573515501226</v>
      </c>
      <c r="AP127" s="73">
        <f t="shared" si="90"/>
        <v>0.82175749396874154</v>
      </c>
      <c r="AQ127" s="206">
        <f t="shared" si="91"/>
        <v>1.2600281574187371</v>
      </c>
      <c r="AR127" s="206">
        <f t="shared" si="92"/>
        <v>3.0218089420955812</v>
      </c>
      <c r="AS127" s="71">
        <f t="shared" si="93"/>
        <v>0.12000000000000001</v>
      </c>
      <c r="AT127" s="74">
        <f t="shared" si="94"/>
        <v>3.6299999999999995E-5</v>
      </c>
      <c r="AU127" s="73">
        <f t="shared" si="73"/>
        <v>17.105513426255577</v>
      </c>
      <c r="AV127" s="71">
        <f t="shared" si="74"/>
        <v>256.8</v>
      </c>
      <c r="AW127" s="74">
        <f t="shared" si="75"/>
        <v>93.754958338631269</v>
      </c>
    </row>
    <row r="128" spans="17:49" x14ac:dyDescent="0.25">
      <c r="Q128">
        <v>121</v>
      </c>
      <c r="R128" s="73">
        <f t="shared" si="49"/>
        <v>53.5</v>
      </c>
      <c r="S128" s="71">
        <f t="shared" si="79"/>
        <v>4.84</v>
      </c>
      <c r="T128" s="71">
        <f t="shared" si="51"/>
        <v>11</v>
      </c>
      <c r="U128" s="74">
        <f t="shared" si="80"/>
        <v>23.54</v>
      </c>
      <c r="V128" s="73">
        <f>IF(Variable_Management!$B$20=3,2,IF((S128*R128/T128)&lt;((T128*(1-(T128/R128)))/(2*Lm*Fsw)),1,2))</f>
        <v>2</v>
      </c>
      <c r="W128" s="71">
        <f t="shared" si="81"/>
        <v>0.79439252336448596</v>
      </c>
      <c r="X128" s="74">
        <f t="shared" si="82"/>
        <v>0.20560747663551404</v>
      </c>
      <c r="Y128" s="73">
        <f t="shared" si="83"/>
        <v>5.8255451713395638</v>
      </c>
      <c r="Z128" s="71">
        <f t="shared" si="77"/>
        <v>26.452772585669781</v>
      </c>
      <c r="AA128" s="71">
        <f t="shared" si="78"/>
        <v>23.59999324954585</v>
      </c>
      <c r="AB128" s="71">
        <v>0</v>
      </c>
      <c r="AC128" s="71">
        <f t="shared" si="84"/>
        <v>1.2810072671708024</v>
      </c>
      <c r="AD128" s="74">
        <f t="shared" si="67"/>
        <v>1.2810072671708024</v>
      </c>
      <c r="AE128" s="73">
        <f t="shared" si="76"/>
        <v>18.7</v>
      </c>
      <c r="AF128" s="71">
        <f t="shared" si="68"/>
        <v>21.034367276023154</v>
      </c>
      <c r="AG128" s="71">
        <f t="shared" si="85"/>
        <v>1.769778426810535</v>
      </c>
      <c r="AH128" s="71">
        <f t="shared" si="86"/>
        <v>8.1830306853013965</v>
      </c>
      <c r="AI128" s="74">
        <f t="shared" si="69"/>
        <v>9.9528091121119324</v>
      </c>
      <c r="AJ128" s="73">
        <f t="shared" si="70"/>
        <v>4.8400000000000007</v>
      </c>
      <c r="AK128" s="71">
        <f t="shared" si="87"/>
        <v>10.701171649682843</v>
      </c>
      <c r="AL128" s="71">
        <f t="shared" si="88"/>
        <v>0.4580602987039033</v>
      </c>
      <c r="AM128" s="71">
        <f t="shared" si="95"/>
        <v>0</v>
      </c>
      <c r="AN128" s="188">
        <f t="shared" si="89"/>
        <v>0.31743327102803737</v>
      </c>
      <c r="AO128" s="74">
        <f t="shared" si="72"/>
        <v>0.77549356973194072</v>
      </c>
      <c r="AP128" s="73">
        <f t="shared" si="90"/>
        <v>0.83543952206791461</v>
      </c>
      <c r="AQ128" s="206">
        <f t="shared" si="91"/>
        <v>1.2810072671708024</v>
      </c>
      <c r="AR128" s="206">
        <f t="shared" si="92"/>
        <v>3.0218089420955812</v>
      </c>
      <c r="AS128" s="71">
        <f t="shared" si="93"/>
        <v>0.12000000000000001</v>
      </c>
      <c r="AT128" s="74">
        <f t="shared" si="94"/>
        <v>3.6299999999999995E-5</v>
      </c>
      <c r="AU128" s="73">
        <f t="shared" si="73"/>
        <v>17.267601980348971</v>
      </c>
      <c r="AV128" s="71">
        <f t="shared" si="74"/>
        <v>258.94</v>
      </c>
      <c r="AW128" s="74">
        <f t="shared" si="75"/>
        <v>93.748324862696037</v>
      </c>
    </row>
    <row r="129" spans="17:49" x14ac:dyDescent="0.25">
      <c r="Q129">
        <v>122</v>
      </c>
      <c r="R129" s="73">
        <f t="shared" si="49"/>
        <v>53.5</v>
      </c>
      <c r="S129" s="71">
        <f t="shared" si="79"/>
        <v>4.88</v>
      </c>
      <c r="T129" s="71">
        <f t="shared" si="51"/>
        <v>11</v>
      </c>
      <c r="U129" s="74">
        <f t="shared" si="80"/>
        <v>23.734545454545454</v>
      </c>
      <c r="V129" s="73">
        <f>IF(Variable_Management!$B$20=3,2,IF((S129*R129/T129)&lt;((T129*(1-(T129/R129)))/(2*Lm*Fsw)),1,2))</f>
        <v>2</v>
      </c>
      <c r="W129" s="71">
        <f t="shared" si="81"/>
        <v>0.79439252336448596</v>
      </c>
      <c r="X129" s="74">
        <f t="shared" si="82"/>
        <v>0.20560747663551404</v>
      </c>
      <c r="Y129" s="73">
        <f t="shared" si="83"/>
        <v>5.8255451713395638</v>
      </c>
      <c r="Z129" s="71">
        <f t="shared" si="77"/>
        <v>26.647318040215236</v>
      </c>
      <c r="AA129" s="71">
        <f t="shared" si="78"/>
        <v>23.794048190934095</v>
      </c>
      <c r="AB129" s="71">
        <v>0</v>
      </c>
      <c r="AC129" s="71">
        <f t="shared" si="84"/>
        <v>1.3021604774187365</v>
      </c>
      <c r="AD129" s="74">
        <f t="shared" si="67"/>
        <v>1.3021604774187365</v>
      </c>
      <c r="AE129" s="73">
        <f t="shared" si="76"/>
        <v>18.854545454545455</v>
      </c>
      <c r="AF129" s="71">
        <f t="shared" si="68"/>
        <v>21.207325923329805</v>
      </c>
      <c r="AG129" s="71">
        <f t="shared" si="85"/>
        <v>1.7990026912733454</v>
      </c>
      <c r="AH129" s="71">
        <f t="shared" si="86"/>
        <v>8.2506590380724827</v>
      </c>
      <c r="AI129" s="74">
        <f t="shared" si="69"/>
        <v>10.049661729345829</v>
      </c>
      <c r="AJ129" s="73">
        <f t="shared" si="70"/>
        <v>4.8800000000000008</v>
      </c>
      <c r="AK129" s="71">
        <f t="shared" si="87"/>
        <v>10.789163845922337</v>
      </c>
      <c r="AL129" s="71">
        <f t="shared" si="88"/>
        <v>0.46562422597663067</v>
      </c>
      <c r="AM129" s="71">
        <f t="shared" si="95"/>
        <v>0</v>
      </c>
      <c r="AN129" s="188">
        <f t="shared" si="89"/>
        <v>0.31976781648258285</v>
      </c>
      <c r="AO129" s="74">
        <f t="shared" si="72"/>
        <v>0.78539204245921357</v>
      </c>
      <c r="AP129" s="73">
        <f t="shared" si="90"/>
        <v>0.84923509396874119</v>
      </c>
      <c r="AQ129" s="206">
        <f t="shared" si="91"/>
        <v>1.3021604774187365</v>
      </c>
      <c r="AR129" s="206">
        <f t="shared" si="92"/>
        <v>3.0218089420955812</v>
      </c>
      <c r="AS129" s="71">
        <f t="shared" si="93"/>
        <v>0.12000000000000001</v>
      </c>
      <c r="AT129" s="74">
        <f t="shared" si="94"/>
        <v>3.6299999999999995E-5</v>
      </c>
      <c r="AU129" s="73">
        <f t="shared" si="73"/>
        <v>17.430455062706837</v>
      </c>
      <c r="AV129" s="71">
        <f t="shared" si="74"/>
        <v>261.08</v>
      </c>
      <c r="AW129" s="74">
        <f t="shared" si="75"/>
        <v>93.741543720941351</v>
      </c>
    </row>
    <row r="130" spans="17:49" x14ac:dyDescent="0.25">
      <c r="Q130">
        <v>123</v>
      </c>
      <c r="R130" s="73">
        <f t="shared" si="49"/>
        <v>53.5</v>
      </c>
      <c r="S130" s="71">
        <f t="shared" si="79"/>
        <v>4.92</v>
      </c>
      <c r="T130" s="71">
        <f t="shared" si="51"/>
        <v>11</v>
      </c>
      <c r="U130" s="74">
        <f t="shared" si="80"/>
        <v>23.929090909090906</v>
      </c>
      <c r="V130" s="73">
        <f>IF(Variable_Management!$B$20=3,2,IF((S130*R130/T130)&lt;((T130*(1-(T130/R130)))/(2*Lm*Fsw)),1,2))</f>
        <v>2</v>
      </c>
      <c r="W130" s="71">
        <f t="shared" si="81"/>
        <v>0.79439252336448596</v>
      </c>
      <c r="X130" s="74">
        <f t="shared" si="82"/>
        <v>0.20560747663551404</v>
      </c>
      <c r="Y130" s="73">
        <f t="shared" si="83"/>
        <v>5.8255451713395638</v>
      </c>
      <c r="Z130" s="71">
        <f t="shared" si="77"/>
        <v>26.841863494760688</v>
      </c>
      <c r="AA130" s="71">
        <f t="shared" si="78"/>
        <v>23.988111078493588</v>
      </c>
      <c r="AB130" s="71">
        <v>0</v>
      </c>
      <c r="AC130" s="71">
        <f t="shared" si="84"/>
        <v>1.3234877881625378</v>
      </c>
      <c r="AD130" s="74">
        <f t="shared" si="67"/>
        <v>1.3234877881625378</v>
      </c>
      <c r="AE130" s="73">
        <f t="shared" si="76"/>
        <v>19.009090909090908</v>
      </c>
      <c r="AF130" s="71">
        <f t="shared" si="68"/>
        <v>21.380291652955616</v>
      </c>
      <c r="AG130" s="71">
        <f t="shared" si="85"/>
        <v>1.8284674846617746</v>
      </c>
      <c r="AH130" s="71">
        <f t="shared" si="86"/>
        <v>8.3182873908435688</v>
      </c>
      <c r="AI130" s="74">
        <f t="shared" si="69"/>
        <v>10.146754875505344</v>
      </c>
      <c r="AJ130" s="73">
        <f t="shared" si="70"/>
        <v>4.92</v>
      </c>
      <c r="AK130" s="71">
        <f t="shared" si="87"/>
        <v>10.877159645270591</v>
      </c>
      <c r="AL130" s="71">
        <f t="shared" si="88"/>
        <v>0.47325040779481226</v>
      </c>
      <c r="AM130" s="71">
        <f t="shared" si="95"/>
        <v>0</v>
      </c>
      <c r="AN130" s="188">
        <f t="shared" si="89"/>
        <v>0.32210236193712827</v>
      </c>
      <c r="AO130" s="74">
        <f t="shared" si="72"/>
        <v>0.79535276973194047</v>
      </c>
      <c r="AP130" s="73">
        <f t="shared" si="90"/>
        <v>0.8631442096712203</v>
      </c>
      <c r="AQ130" s="206">
        <f t="shared" si="91"/>
        <v>1.3234877881625378</v>
      </c>
      <c r="AR130" s="206">
        <f t="shared" si="92"/>
        <v>3.0218089420955812</v>
      </c>
      <c r="AS130" s="71">
        <f t="shared" si="93"/>
        <v>0.12000000000000001</v>
      </c>
      <c r="AT130" s="74">
        <f t="shared" si="94"/>
        <v>3.6299999999999995E-5</v>
      </c>
      <c r="AU130" s="73">
        <f t="shared" si="73"/>
        <v>17.594072673329162</v>
      </c>
      <c r="AV130" s="71">
        <f t="shared" si="74"/>
        <v>263.21999999999997</v>
      </c>
      <c r="AW130" s="74">
        <f t="shared" si="75"/>
        <v>93.734618601612482</v>
      </c>
    </row>
    <row r="131" spans="17:49" x14ac:dyDescent="0.25">
      <c r="Q131">
        <v>124</v>
      </c>
      <c r="R131" s="73">
        <f t="shared" si="49"/>
        <v>53.5</v>
      </c>
      <c r="S131" s="71">
        <f t="shared" si="79"/>
        <v>4.96</v>
      </c>
      <c r="T131" s="71">
        <f t="shared" si="51"/>
        <v>11</v>
      </c>
      <c r="U131" s="74">
        <f t="shared" si="80"/>
        <v>24.123636363636365</v>
      </c>
      <c r="V131" s="73">
        <f>IF(Variable_Management!$B$20=3,2,IF((S131*R131/T131)&lt;((T131*(1-(T131/R131)))/(2*Lm*Fsw)),1,2))</f>
        <v>2</v>
      </c>
      <c r="W131" s="71">
        <f t="shared" si="81"/>
        <v>0.79439252336448596</v>
      </c>
      <c r="X131" s="74">
        <f t="shared" si="82"/>
        <v>0.20560747663551404</v>
      </c>
      <c r="Y131" s="73">
        <f t="shared" si="83"/>
        <v>5.8255451713395638</v>
      </c>
      <c r="Z131" s="71">
        <f t="shared" si="77"/>
        <v>27.036408949306146</v>
      </c>
      <c r="AA131" s="71">
        <f t="shared" si="78"/>
        <v>24.182181720919406</v>
      </c>
      <c r="AB131" s="71">
        <v>0</v>
      </c>
      <c r="AC131" s="71">
        <f t="shared" si="84"/>
        <v>1.3449891994022081</v>
      </c>
      <c r="AD131" s="74">
        <f t="shared" si="67"/>
        <v>1.3449891994022081</v>
      </c>
      <c r="AE131" s="73">
        <f t="shared" si="76"/>
        <v>19.163636363636364</v>
      </c>
      <c r="AF131" s="71">
        <f t="shared" si="68"/>
        <v>21.553264294393003</v>
      </c>
      <c r="AG131" s="71">
        <f t="shared" si="85"/>
        <v>1.8581728069758254</v>
      </c>
      <c r="AH131" s="71">
        <f t="shared" si="86"/>
        <v>8.3859157436146567</v>
      </c>
      <c r="AI131" s="74">
        <f t="shared" si="69"/>
        <v>10.244088550590483</v>
      </c>
      <c r="AJ131" s="73">
        <f t="shared" si="70"/>
        <v>4.9600000000000009</v>
      </c>
      <c r="AK131" s="71">
        <f t="shared" si="87"/>
        <v>10.965158960982382</v>
      </c>
      <c r="AL131" s="71">
        <f t="shared" si="88"/>
        <v>0.48093884415844895</v>
      </c>
      <c r="AM131" s="71">
        <f t="shared" si="95"/>
        <v>0</v>
      </c>
      <c r="AN131" s="188">
        <f t="shared" si="89"/>
        <v>0.32443690739167375</v>
      </c>
      <c r="AO131" s="74">
        <f t="shared" si="72"/>
        <v>0.80537575155012275</v>
      </c>
      <c r="AP131" s="73">
        <f t="shared" si="90"/>
        <v>0.87716686917535303</v>
      </c>
      <c r="AQ131" s="206">
        <f t="shared" si="91"/>
        <v>1.3449891994022081</v>
      </c>
      <c r="AR131" s="206">
        <f t="shared" si="92"/>
        <v>3.0218089420955812</v>
      </c>
      <c r="AS131" s="71">
        <f t="shared" si="93"/>
        <v>0.12000000000000001</v>
      </c>
      <c r="AT131" s="74">
        <f t="shared" si="94"/>
        <v>3.6299999999999995E-5</v>
      </c>
      <c r="AU131" s="73">
        <f t="shared" si="73"/>
        <v>17.758454812215955</v>
      </c>
      <c r="AV131" s="71">
        <f t="shared" si="74"/>
        <v>265.36</v>
      </c>
      <c r="AW131" s="74">
        <f t="shared" si="75"/>
        <v>93.727553075268574</v>
      </c>
    </row>
    <row r="132" spans="17:49" x14ac:dyDescent="0.25">
      <c r="Q132">
        <v>125</v>
      </c>
      <c r="R132" s="73">
        <f t="shared" si="49"/>
        <v>53.5</v>
      </c>
      <c r="S132" s="71">
        <f t="shared" si="79"/>
        <v>5</v>
      </c>
      <c r="T132" s="71">
        <f t="shared" si="51"/>
        <v>11</v>
      </c>
      <c r="U132" s="74">
        <f t="shared" si="80"/>
        <v>24.318181818181817</v>
      </c>
      <c r="V132" s="73">
        <f>IF(Variable_Management!$B$20=3,2,IF((S132*R132/T132)&lt;((T132*(1-(T132/R132)))/(2*Lm*Fsw)),1,2))</f>
        <v>2</v>
      </c>
      <c r="W132" s="71">
        <f t="shared" si="81"/>
        <v>0.79439252336448596</v>
      </c>
      <c r="X132" s="74">
        <f t="shared" si="82"/>
        <v>0.20560747663551404</v>
      </c>
      <c r="Y132" s="73">
        <f t="shared" si="83"/>
        <v>5.8255451713395638</v>
      </c>
      <c r="Z132" s="71">
        <f t="shared" si="77"/>
        <v>27.230954403851598</v>
      </c>
      <c r="AA132" s="71">
        <f t="shared" si="78"/>
        <v>24.376259932991328</v>
      </c>
      <c r="AB132" s="71">
        <v>0</v>
      </c>
      <c r="AC132" s="71">
        <f t="shared" si="84"/>
        <v>1.3666647111377443</v>
      </c>
      <c r="AD132" s="74">
        <f t="shared" si="67"/>
        <v>1.3666647111377443</v>
      </c>
      <c r="AE132" s="73">
        <f t="shared" si="76"/>
        <v>19.318181818181817</v>
      </c>
      <c r="AF132" s="71">
        <f t="shared" si="68"/>
        <v>21.726243682557588</v>
      </c>
      <c r="AG132" s="71">
        <f t="shared" si="85"/>
        <v>1.8881186582154941</v>
      </c>
      <c r="AH132" s="71">
        <f t="shared" si="86"/>
        <v>8.4535440963857411</v>
      </c>
      <c r="AI132" s="74">
        <f t="shared" si="69"/>
        <v>10.341662754601234</v>
      </c>
      <c r="AJ132" s="73">
        <f t="shared" si="70"/>
        <v>5</v>
      </c>
      <c r="AK132" s="71">
        <f t="shared" si="87"/>
        <v>11.053161709071523</v>
      </c>
      <c r="AL132" s="71">
        <f t="shared" si="88"/>
        <v>0.48868953506753965</v>
      </c>
      <c r="AM132" s="71">
        <f t="shared" si="95"/>
        <v>0</v>
      </c>
      <c r="AN132" s="188">
        <f t="shared" si="89"/>
        <v>0.32677145284621917</v>
      </c>
      <c r="AO132" s="74">
        <f t="shared" si="72"/>
        <v>0.81546098791375887</v>
      </c>
      <c r="AP132" s="73">
        <f t="shared" si="90"/>
        <v>0.8913030724811376</v>
      </c>
      <c r="AQ132" s="206">
        <f t="shared" si="91"/>
        <v>1.3666647111377443</v>
      </c>
      <c r="AR132" s="206">
        <f t="shared" si="92"/>
        <v>3.0218089420955812</v>
      </c>
      <c r="AS132" s="71">
        <f t="shared" si="93"/>
        <v>0.12000000000000001</v>
      </c>
      <c r="AT132" s="74">
        <f t="shared" si="94"/>
        <v>3.6299999999999995E-5</v>
      </c>
      <c r="AU132" s="73">
        <f t="shared" si="73"/>
        <v>17.9236014793672</v>
      </c>
      <c r="AV132" s="71">
        <f t="shared" si="74"/>
        <v>267.5</v>
      </c>
      <c r="AW132" s="74">
        <f t="shared" si="75"/>
        <v>93.720350599436017</v>
      </c>
    </row>
    <row r="133" spans="17:49" x14ac:dyDescent="0.25">
      <c r="Q133">
        <v>126</v>
      </c>
      <c r="R133" s="73">
        <f t="shared" si="49"/>
        <v>53.5</v>
      </c>
      <c r="S133" s="71">
        <f t="shared" si="79"/>
        <v>5.04</v>
      </c>
      <c r="T133" s="71">
        <f t="shared" si="51"/>
        <v>11</v>
      </c>
      <c r="U133" s="74">
        <f t="shared" si="80"/>
        <v>24.512727272727272</v>
      </c>
      <c r="V133" s="73">
        <f>IF(Variable_Management!$B$20=3,2,IF((S133*R133/T133)&lt;((T133*(1-(T133/R133)))/(2*Lm*Fsw)),1,2))</f>
        <v>2</v>
      </c>
      <c r="W133" s="71">
        <f t="shared" si="81"/>
        <v>0.79439252336448596</v>
      </c>
      <c r="X133" s="74">
        <f t="shared" si="82"/>
        <v>0.20560747663551404</v>
      </c>
      <c r="Y133" s="73">
        <f t="shared" si="83"/>
        <v>5.8255451713395638</v>
      </c>
      <c r="Z133" s="71">
        <f t="shared" si="77"/>
        <v>27.425499858397053</v>
      </c>
      <c r="AA133" s="71">
        <f t="shared" si="78"/>
        <v>24.570345535334198</v>
      </c>
      <c r="AB133" s="71">
        <v>0</v>
      </c>
      <c r="AC133" s="71">
        <f t="shared" si="84"/>
        <v>1.3885143233691495</v>
      </c>
      <c r="AD133" s="74">
        <f t="shared" si="67"/>
        <v>1.3885143233691495</v>
      </c>
      <c r="AE133" s="73">
        <f t="shared" si="76"/>
        <v>19.472727272727273</v>
      </c>
      <c r="AF133" s="71">
        <f t="shared" si="68"/>
        <v>21.899229657574622</v>
      </c>
      <c r="AG133" s="71">
        <f t="shared" si="85"/>
        <v>1.9183050383807836</v>
      </c>
      <c r="AH133" s="71">
        <f t="shared" si="86"/>
        <v>8.521172449156829</v>
      </c>
      <c r="AI133" s="74">
        <f t="shared" si="69"/>
        <v>10.439477487537612</v>
      </c>
      <c r="AJ133" s="73">
        <f t="shared" si="70"/>
        <v>5.04</v>
      </c>
      <c r="AK133" s="71">
        <f t="shared" si="87"/>
        <v>11.141167808202212</v>
      </c>
      <c r="AL133" s="71">
        <f t="shared" si="88"/>
        <v>0.49650248052208512</v>
      </c>
      <c r="AM133" s="71">
        <f t="shared" si="95"/>
        <v>0</v>
      </c>
      <c r="AN133" s="188">
        <f t="shared" si="89"/>
        <v>0.32910599830076465</v>
      </c>
      <c r="AO133" s="74">
        <f t="shared" si="72"/>
        <v>0.82560847882284971</v>
      </c>
      <c r="AP133" s="73">
        <f t="shared" si="90"/>
        <v>0.90555281958857581</v>
      </c>
      <c r="AQ133" s="206">
        <f t="shared" si="91"/>
        <v>1.3885143233691495</v>
      </c>
      <c r="AR133" s="206">
        <f t="shared" si="92"/>
        <v>3.0218089420955812</v>
      </c>
      <c r="AS133" s="71">
        <f t="shared" si="93"/>
        <v>0.12000000000000001</v>
      </c>
      <c r="AT133" s="74">
        <f t="shared" si="94"/>
        <v>3.6299999999999995E-5</v>
      </c>
      <c r="AU133" s="73">
        <f t="shared" si="73"/>
        <v>18.089512674782917</v>
      </c>
      <c r="AV133" s="71">
        <f t="shared" si="74"/>
        <v>269.64</v>
      </c>
      <c r="AW133" s="74">
        <f t="shared" si="75"/>
        <v>93.713014523042943</v>
      </c>
    </row>
    <row r="134" spans="17:49" x14ac:dyDescent="0.25">
      <c r="Q134">
        <v>127</v>
      </c>
      <c r="R134" s="73">
        <f t="shared" si="49"/>
        <v>53.5</v>
      </c>
      <c r="S134" s="71">
        <f t="shared" si="79"/>
        <v>5.08</v>
      </c>
      <c r="T134" s="71">
        <f t="shared" si="51"/>
        <v>11</v>
      </c>
      <c r="U134" s="74">
        <f t="shared" si="80"/>
        <v>24.707272727272731</v>
      </c>
      <c r="V134" s="73">
        <f>IF(Variable_Management!$B$20=3,2,IF((S134*R134/T134)&lt;((T134*(1-(T134/R134)))/(2*Lm*Fsw)),1,2))</f>
        <v>2</v>
      </c>
      <c r="W134" s="71">
        <f t="shared" si="81"/>
        <v>0.79439252336448596</v>
      </c>
      <c r="X134" s="74">
        <f t="shared" si="82"/>
        <v>0.20560747663551404</v>
      </c>
      <c r="Y134" s="73">
        <f t="shared" si="83"/>
        <v>5.8255451713395638</v>
      </c>
      <c r="Z134" s="71">
        <f t="shared" si="77"/>
        <v>27.620045312942512</v>
      </c>
      <c r="AA134" s="71">
        <f t="shared" si="78"/>
        <v>24.764438354189352</v>
      </c>
      <c r="AB134" s="71">
        <v>0</v>
      </c>
      <c r="AC134" s="71">
        <f t="shared" si="84"/>
        <v>1.4105380360964226</v>
      </c>
      <c r="AD134" s="74">
        <f t="shared" si="67"/>
        <v>1.4105380360964226</v>
      </c>
      <c r="AE134" s="73">
        <f t="shared" si="76"/>
        <v>19.627272727272729</v>
      </c>
      <c r="AF134" s="71">
        <f t="shared" si="68"/>
        <v>22.072222064575268</v>
      </c>
      <c r="AG134" s="71">
        <f t="shared" si="85"/>
        <v>1.9487319474716933</v>
      </c>
      <c r="AH134" s="71">
        <f t="shared" si="86"/>
        <v>8.5888008019279134</v>
      </c>
      <c r="AI134" s="74">
        <f t="shared" si="69"/>
        <v>10.537532749399606</v>
      </c>
      <c r="AJ134" s="73">
        <f t="shared" si="70"/>
        <v>5.080000000000001</v>
      </c>
      <c r="AK134" s="71">
        <f t="shared" si="87"/>
        <v>11.229177179585394</v>
      </c>
      <c r="AL134" s="71">
        <f t="shared" si="88"/>
        <v>0.50437768052208554</v>
      </c>
      <c r="AM134" s="71">
        <f t="shared" si="95"/>
        <v>0</v>
      </c>
      <c r="AN134" s="188">
        <f t="shared" si="89"/>
        <v>0.33144054375531018</v>
      </c>
      <c r="AO134" s="74">
        <f t="shared" si="72"/>
        <v>0.83581822427739572</v>
      </c>
      <c r="AP134" s="73">
        <f t="shared" si="90"/>
        <v>0.91991611049766686</v>
      </c>
      <c r="AQ134" s="206">
        <f t="shared" si="91"/>
        <v>1.4105380360964226</v>
      </c>
      <c r="AR134" s="206">
        <f t="shared" si="92"/>
        <v>3.0218089420955812</v>
      </c>
      <c r="AS134" s="71">
        <f t="shared" si="93"/>
        <v>0.12000000000000001</v>
      </c>
      <c r="AT134" s="74">
        <f t="shared" si="94"/>
        <v>3.6299999999999995E-5</v>
      </c>
      <c r="AU134" s="73">
        <f t="shared" si="73"/>
        <v>18.256188398463095</v>
      </c>
      <c r="AV134" s="71">
        <f t="shared" si="74"/>
        <v>271.78000000000003</v>
      </c>
      <c r="AW134" s="74">
        <f t="shared" si="75"/>
        <v>93.705548090646531</v>
      </c>
    </row>
    <row r="135" spans="17:49" x14ac:dyDescent="0.25">
      <c r="Q135">
        <v>128</v>
      </c>
      <c r="R135" s="73">
        <f t="shared" ref="R135:R157" si="96">VOUT</f>
        <v>53.5</v>
      </c>
      <c r="S135" s="71">
        <f t="shared" ref="S135:S157" si="97">Q135*$O$12</f>
        <v>5.12</v>
      </c>
      <c r="T135" s="71">
        <f t="shared" ref="T135:T157" si="98">VIN_var</f>
        <v>11</v>
      </c>
      <c r="U135" s="74">
        <f t="shared" ref="U135:U157" si="99">(R135*S135)/(T135*EFF_est)</f>
        <v>24.901818181818182</v>
      </c>
      <c r="V135" s="73">
        <f>IF(Variable_Management!$B$20=3,2,IF((S135*R135/T135)&lt;((T135*(1-(T135/R135)))/(2*Lm*Fsw)),1,2))</f>
        <v>2</v>
      </c>
      <c r="W135" s="71">
        <f t="shared" ref="W135:W157" si="100">CHOOSE(V135,SQRT((2*S135*Lm*Fsw*(R135-T135))/((T135)^2)),1-(T135/R135))</f>
        <v>0.79439252336448596</v>
      </c>
      <c r="X135" s="74">
        <f t="shared" ref="X135:X157" si="101">CHOOSE(V135,(Lm*Z135*Fsw)/(R135-T135),1-W135)</f>
        <v>0.20560747663551404</v>
      </c>
      <c r="Y135" s="73">
        <f t="shared" ref="Y135:Y157" si="102">(T135*W135)/(Lm*Fsw)</f>
        <v>5.8255451713395638</v>
      </c>
      <c r="Z135" s="71">
        <f t="shared" si="77"/>
        <v>27.814590767487964</v>
      </c>
      <c r="AA135" s="71">
        <f t="shared" si="78"/>
        <v>24.958538221196779</v>
      </c>
      <c r="AB135" s="71">
        <v>0</v>
      </c>
      <c r="AC135" s="71">
        <f t="shared" ref="AC135:AC157" si="103">(AA135^2)*Rdcr</f>
        <v>1.432735849319563</v>
      </c>
      <c r="AD135" s="74">
        <f t="shared" si="67"/>
        <v>1.432735849319563</v>
      </c>
      <c r="AE135" s="73">
        <f t="shared" si="76"/>
        <v>19.781818181818181</v>
      </c>
      <c r="AF135" s="71">
        <f t="shared" si="68"/>
        <v>22.245220753502434</v>
      </c>
      <c r="AG135" s="71">
        <f t="shared" ref="AG135:AG157" si="104">(AF135^2)*RDS_on</f>
        <v>1.9793993854882215</v>
      </c>
      <c r="AH135" s="71">
        <f t="shared" ref="AH135:AH157" si="105">((R135*U135)/2)*Fsw*(tr_sw+tf_sw)</f>
        <v>8.6564291546989995</v>
      </c>
      <c r="AI135" s="74">
        <f t="shared" si="69"/>
        <v>10.635828540187221</v>
      </c>
      <c r="AJ135" s="73">
        <f t="shared" si="70"/>
        <v>5.120000000000001</v>
      </c>
      <c r="AK135" s="71">
        <f t="shared" ref="AK135:AK157" si="106">CHOOSE(V135,Z135*SQRT(X135/3),SQRT(X135*((Z135^2)+((Y135^2)/3)-(Y135*Z135))))</f>
        <v>11.317189746879963</v>
      </c>
      <c r="AL135" s="71">
        <f t="shared" ref="AL135:AL157" si="107">(AK135^2)*RDS_on_HS</f>
        <v>0.51231513506753978</v>
      </c>
      <c r="AM135" s="71">
        <f t="shared" si="95"/>
        <v>0</v>
      </c>
      <c r="AN135" s="188">
        <f t="shared" ref="AN135:AN156" si="108">Vd_rect*t_dead*Fsw*Z135</f>
        <v>0.33377508920985555</v>
      </c>
      <c r="AO135" s="74">
        <f t="shared" si="72"/>
        <v>0.84609022427739533</v>
      </c>
      <c r="AP135" s="73">
        <f t="shared" ref="AP135:AP157" si="109">(AA135^2)*R_cs</f>
        <v>0.93439294520841065</v>
      </c>
      <c r="AQ135" s="206">
        <f t="shared" ref="AQ135:AQ157" si="110">Rdcr*AA135^2</f>
        <v>1.432735849319563</v>
      </c>
      <c r="AR135" s="206">
        <f t="shared" ref="AR135:AR157" si="111">ABS(7.759*10^-3*Fsw^0.9458*(0.00787*Y135)^2.304)</f>
        <v>3.0218089420955812</v>
      </c>
      <c r="AS135" s="71">
        <f t="shared" ref="AS135:AS157" si="112">(Qg_tot+Qg_tot_HS)*Vcc*Fsw</f>
        <v>0.12000000000000001</v>
      </c>
      <c r="AT135" s="74">
        <f t="shared" ref="AT135:AT157" si="113">IQ*T135</f>
        <v>3.6299999999999995E-5</v>
      </c>
      <c r="AU135" s="73">
        <f t="shared" si="73"/>
        <v>18.423628650407736</v>
      </c>
      <c r="AV135" s="71">
        <f t="shared" si="74"/>
        <v>273.92</v>
      </c>
      <c r="AW135" s="74">
        <f t="shared" si="75"/>
        <v>93.697954446464365</v>
      </c>
    </row>
    <row r="136" spans="17:49" x14ac:dyDescent="0.25">
      <c r="Q136">
        <v>129</v>
      </c>
      <c r="R136" s="73">
        <f t="shared" si="96"/>
        <v>53.5</v>
      </c>
      <c r="S136" s="71">
        <f t="shared" si="97"/>
        <v>5.16</v>
      </c>
      <c r="T136" s="71">
        <f t="shared" si="98"/>
        <v>11</v>
      </c>
      <c r="U136" s="74">
        <f t="shared" si="99"/>
        <v>25.096363636363638</v>
      </c>
      <c r="V136" s="73">
        <f>IF(Variable_Management!$B$20=3,2,IF((S136*R136/T136)&lt;((T136*(1-(T136/R136)))/(2*Lm*Fsw)),1,2))</f>
        <v>2</v>
      </c>
      <c r="W136" s="71">
        <f t="shared" si="100"/>
        <v>0.79439252336448596</v>
      </c>
      <c r="X136" s="74">
        <f t="shared" si="101"/>
        <v>0.20560747663551404</v>
      </c>
      <c r="Y136" s="73">
        <f t="shared" si="102"/>
        <v>5.8255451713395638</v>
      </c>
      <c r="Z136" s="71">
        <f t="shared" si="77"/>
        <v>28.009136222033419</v>
      </c>
      <c r="AA136" s="71">
        <f t="shared" si="78"/>
        <v>25.152644973187311</v>
      </c>
      <c r="AB136" s="71">
        <v>0</v>
      </c>
      <c r="AC136" s="71">
        <f t="shared" si="103"/>
        <v>1.4551077630385711</v>
      </c>
      <c r="AD136" s="74">
        <f t="shared" ref="AD136:AD157" si="114">AB136+AC136</f>
        <v>1.4551077630385711</v>
      </c>
      <c r="AE136" s="73">
        <f t="shared" si="76"/>
        <v>19.936363636363637</v>
      </c>
      <c r="AF136" s="71">
        <f t="shared" ref="AF136:AF157" si="115">CHOOSE(V136,Z136*SQRT(W136/3),SQRT(W136*((Z136^2)+((Y136^2)/3)-(Z136*Y136))))</f>
        <v>22.418225578925568</v>
      </c>
      <c r="AG136" s="71">
        <f t="shared" si="104"/>
        <v>2.0103073524303707</v>
      </c>
      <c r="AH136" s="71">
        <f t="shared" si="105"/>
        <v>8.7240575074700857</v>
      </c>
      <c r="AI136" s="74">
        <f t="shared" ref="AI136:AI157" si="116">AG136+AH136</f>
        <v>10.734364859900456</v>
      </c>
      <c r="AJ136" s="73">
        <f t="shared" ref="AJ136:AJ156" si="117">X136*U136</f>
        <v>5.160000000000001</v>
      </c>
      <c r="AK136" s="71">
        <f t="shared" si="106"/>
        <v>11.405205436098564</v>
      </c>
      <c r="AL136" s="71">
        <f t="shared" si="107"/>
        <v>0.52031484415844897</v>
      </c>
      <c r="AM136" s="71">
        <f t="shared" ref="AM136:AM157" si="118">CHOOSE(V136,(R136+Vd_rect)*Qrr*Fsw,(R136+Vd_rect)*Qrr*Fsw)</f>
        <v>0</v>
      </c>
      <c r="AN136" s="188">
        <f t="shared" si="108"/>
        <v>0.33610963466440102</v>
      </c>
      <c r="AO136" s="74">
        <f t="shared" ref="AO136:AO157" si="119">AL136+AM136+AN136</f>
        <v>0.85642447882285</v>
      </c>
      <c r="AP136" s="73">
        <f t="shared" si="109"/>
        <v>0.94898332372080729</v>
      </c>
      <c r="AQ136" s="206">
        <f t="shared" si="110"/>
        <v>1.4551077630385711</v>
      </c>
      <c r="AR136" s="206">
        <f t="shared" si="111"/>
        <v>3.0218089420955812</v>
      </c>
      <c r="AS136" s="71">
        <f t="shared" si="112"/>
        <v>0.12000000000000001</v>
      </c>
      <c r="AT136" s="74">
        <f t="shared" si="113"/>
        <v>3.6299999999999995E-5</v>
      </c>
      <c r="AU136" s="73">
        <f t="shared" ref="AU136:AU157" si="120">AP136+AO136+AI136+AD136+AS136+AT136+AQ136+AR136</f>
        <v>18.591833430616834</v>
      </c>
      <c r="AV136" s="71">
        <f t="shared" ref="AV136:AV157" si="121">R136*S136</f>
        <v>276.06</v>
      </c>
      <c r="AW136" s="74">
        <f t="shared" ref="AW136:AW156" si="122">(AV136/(AV136+AU136))*100</f>
        <v>93.690236638220441</v>
      </c>
    </row>
    <row r="137" spans="17:49" x14ac:dyDescent="0.25">
      <c r="Q137">
        <v>130</v>
      </c>
      <c r="R137" s="73">
        <f t="shared" si="96"/>
        <v>53.5</v>
      </c>
      <c r="S137" s="71">
        <f t="shared" si="97"/>
        <v>5.2</v>
      </c>
      <c r="T137" s="71">
        <f t="shared" si="98"/>
        <v>11</v>
      </c>
      <c r="U137" s="74">
        <f t="shared" si="99"/>
        <v>25.290909090909089</v>
      </c>
      <c r="V137" s="73">
        <f>IF(Variable_Management!$B$20=3,2,IF((S137*R137/T137)&lt;((T137*(1-(T137/R137)))/(2*Lm*Fsw)),1,2))</f>
        <v>2</v>
      </c>
      <c r="W137" s="71">
        <f t="shared" si="100"/>
        <v>0.79439252336448596</v>
      </c>
      <c r="X137" s="74">
        <f t="shared" si="101"/>
        <v>0.20560747663551404</v>
      </c>
      <c r="Y137" s="73">
        <f t="shared" si="102"/>
        <v>5.8255451713395638</v>
      </c>
      <c r="Z137" s="71">
        <f t="shared" si="77"/>
        <v>28.203681676578871</v>
      </c>
      <c r="AA137" s="71">
        <f t="shared" si="78"/>
        <v>25.346758451984307</v>
      </c>
      <c r="AB137" s="71">
        <v>0</v>
      </c>
      <c r="AC137" s="71">
        <f t="shared" si="103"/>
        <v>1.4776537772534473</v>
      </c>
      <c r="AD137" s="74">
        <f t="shared" si="114"/>
        <v>1.4776537772534473</v>
      </c>
      <c r="AE137" s="73">
        <f t="shared" ref="AE137:AE157" si="123">U137*W137</f>
        <v>20.09090909090909</v>
      </c>
      <c r="AF137" s="71">
        <f t="shared" si="115"/>
        <v>22.591236399863881</v>
      </c>
      <c r="AG137" s="71">
        <f t="shared" si="104"/>
        <v>2.0414558482981389</v>
      </c>
      <c r="AH137" s="71">
        <f t="shared" si="105"/>
        <v>8.79168586024117</v>
      </c>
      <c r="AI137" s="74">
        <f t="shared" si="116"/>
        <v>10.833141708539308</v>
      </c>
      <c r="AJ137" s="73">
        <f t="shared" si="117"/>
        <v>5.2</v>
      </c>
      <c r="AK137" s="71">
        <f t="shared" si="106"/>
        <v>11.493224175517639</v>
      </c>
      <c r="AL137" s="71">
        <f t="shared" si="107"/>
        <v>0.52837680779481255</v>
      </c>
      <c r="AM137" s="71">
        <f t="shared" si="118"/>
        <v>0</v>
      </c>
      <c r="AN137" s="188">
        <f t="shared" si="108"/>
        <v>0.33844418011894645</v>
      </c>
      <c r="AO137" s="74">
        <f t="shared" si="119"/>
        <v>0.86682098791375894</v>
      </c>
      <c r="AP137" s="73">
        <f t="shared" si="109"/>
        <v>0.96368724603485689</v>
      </c>
      <c r="AQ137" s="206">
        <f t="shared" si="110"/>
        <v>1.4776537772534473</v>
      </c>
      <c r="AR137" s="206">
        <f t="shared" si="111"/>
        <v>3.0218089420955812</v>
      </c>
      <c r="AS137" s="71">
        <f t="shared" si="112"/>
        <v>0.12000000000000001</v>
      </c>
      <c r="AT137" s="74">
        <f t="shared" si="113"/>
        <v>3.6299999999999995E-5</v>
      </c>
      <c r="AU137" s="73">
        <f t="shared" si="120"/>
        <v>18.760802739090398</v>
      </c>
      <c r="AV137" s="71">
        <f t="shared" si="121"/>
        <v>278.2</v>
      </c>
      <c r="AW137" s="74">
        <f t="shared" si="122"/>
        <v>93.682397620815422</v>
      </c>
    </row>
    <row r="138" spans="17:49" x14ac:dyDescent="0.25">
      <c r="Q138">
        <v>131</v>
      </c>
      <c r="R138" s="73">
        <f t="shared" si="96"/>
        <v>53.5</v>
      </c>
      <c r="S138" s="71">
        <f t="shared" si="97"/>
        <v>5.24</v>
      </c>
      <c r="T138" s="71">
        <f t="shared" si="98"/>
        <v>11</v>
      </c>
      <c r="U138" s="74">
        <f t="shared" si="99"/>
        <v>25.485454545454548</v>
      </c>
      <c r="V138" s="73">
        <f>IF(Variable_Management!$B$20=3,2,IF((S138*R138/T138)&lt;((T138*(1-(T138/R138)))/(2*Lm*Fsw)),1,2))</f>
        <v>2</v>
      </c>
      <c r="W138" s="71">
        <f t="shared" si="100"/>
        <v>0.79439252336448596</v>
      </c>
      <c r="X138" s="74">
        <f t="shared" si="101"/>
        <v>0.20560747663551404</v>
      </c>
      <c r="Y138" s="73">
        <f t="shared" si="102"/>
        <v>5.8255451713395638</v>
      </c>
      <c r="Z138" s="71">
        <f t="shared" si="77"/>
        <v>28.39822713112433</v>
      </c>
      <c r="AA138" s="71">
        <f t="shared" si="78"/>
        <v>25.540878504214369</v>
      </c>
      <c r="AB138" s="71">
        <v>0</v>
      </c>
      <c r="AC138" s="71">
        <f t="shared" si="103"/>
        <v>1.5003738919641911</v>
      </c>
      <c r="AD138" s="74">
        <f t="shared" si="114"/>
        <v>1.5003738919641911</v>
      </c>
      <c r="AE138" s="73">
        <f t="shared" si="123"/>
        <v>20.245454545454546</v>
      </c>
      <c r="AF138" s="71">
        <f t="shared" si="115"/>
        <v>22.764253079617653</v>
      </c>
      <c r="AG138" s="71">
        <f t="shared" si="104"/>
        <v>2.072844873091527</v>
      </c>
      <c r="AH138" s="71">
        <f t="shared" si="105"/>
        <v>8.859314213012258</v>
      </c>
      <c r="AI138" s="74">
        <f t="shared" si="116"/>
        <v>10.932159086103784</v>
      </c>
      <c r="AJ138" s="73">
        <f t="shared" si="117"/>
        <v>5.2400000000000011</v>
      </c>
      <c r="AK138" s="71">
        <f t="shared" si="106"/>
        <v>11.581245895591618</v>
      </c>
      <c r="AL138" s="71">
        <f t="shared" si="107"/>
        <v>0.53650102597663085</v>
      </c>
      <c r="AM138" s="71">
        <f t="shared" si="118"/>
        <v>0</v>
      </c>
      <c r="AN138" s="188">
        <f t="shared" si="108"/>
        <v>0.34077872557349198</v>
      </c>
      <c r="AO138" s="74">
        <f t="shared" si="119"/>
        <v>0.87727975155012283</v>
      </c>
      <c r="AP138" s="73">
        <f t="shared" si="109"/>
        <v>0.97850471215055945</v>
      </c>
      <c r="AQ138" s="206">
        <f t="shared" si="110"/>
        <v>1.5003738919641911</v>
      </c>
      <c r="AR138" s="206">
        <f t="shared" si="111"/>
        <v>3.0218089420955812</v>
      </c>
      <c r="AS138" s="71">
        <f t="shared" si="112"/>
        <v>0.12000000000000001</v>
      </c>
      <c r="AT138" s="74">
        <f t="shared" si="113"/>
        <v>3.6299999999999995E-5</v>
      </c>
      <c r="AU138" s="73">
        <f t="shared" si="120"/>
        <v>18.93053657582843</v>
      </c>
      <c r="AV138" s="71">
        <f t="shared" si="121"/>
        <v>280.34000000000003</v>
      </c>
      <c r="AW138" s="74">
        <f t="shared" si="122"/>
        <v>93.674440259830959</v>
      </c>
    </row>
    <row r="139" spans="17:49" x14ac:dyDescent="0.25">
      <c r="Q139">
        <v>132</v>
      </c>
      <c r="R139" s="73">
        <f t="shared" si="96"/>
        <v>53.5</v>
      </c>
      <c r="S139" s="71">
        <f t="shared" si="97"/>
        <v>5.28</v>
      </c>
      <c r="T139" s="71">
        <f t="shared" si="98"/>
        <v>11</v>
      </c>
      <c r="U139" s="74">
        <f t="shared" si="99"/>
        <v>25.680000000000003</v>
      </c>
      <c r="V139" s="73">
        <f>IF(Variable_Management!$B$20=3,2,IF((S139*R139/T139)&lt;((T139*(1-(T139/R139)))/(2*Lm*Fsw)),1,2))</f>
        <v>2</v>
      </c>
      <c r="W139" s="71">
        <f t="shared" si="100"/>
        <v>0.79439252336448596</v>
      </c>
      <c r="X139" s="74">
        <f t="shared" si="101"/>
        <v>0.20560747663551404</v>
      </c>
      <c r="Y139" s="73">
        <f t="shared" si="102"/>
        <v>5.8255451713395638</v>
      </c>
      <c r="Z139" s="71">
        <f t="shared" si="77"/>
        <v>28.592772585669785</v>
      </c>
      <c r="AA139" s="71">
        <f t="shared" si="78"/>
        <v>25.735004981126579</v>
      </c>
      <c r="AB139" s="71">
        <v>0</v>
      </c>
      <c r="AC139" s="71">
        <f t="shared" si="103"/>
        <v>1.5232681071708025</v>
      </c>
      <c r="AD139" s="74">
        <f t="shared" si="114"/>
        <v>1.5232681071708025</v>
      </c>
      <c r="AE139" s="73">
        <f t="shared" si="123"/>
        <v>20.400000000000002</v>
      </c>
      <c r="AF139" s="71">
        <f t="shared" si="115"/>
        <v>22.937275485607135</v>
      </c>
      <c r="AG139" s="71">
        <f t="shared" si="104"/>
        <v>2.104474426810536</v>
      </c>
      <c r="AH139" s="71">
        <f t="shared" si="105"/>
        <v>8.9269425657833423</v>
      </c>
      <c r="AI139" s="74">
        <f t="shared" si="116"/>
        <v>11.031416992593879</v>
      </c>
      <c r="AJ139" s="73">
        <f t="shared" si="117"/>
        <v>5.2800000000000011</v>
      </c>
      <c r="AK139" s="71">
        <f t="shared" si="106"/>
        <v>11.669270528870941</v>
      </c>
      <c r="AL139" s="71">
        <f t="shared" si="107"/>
        <v>0.54468749870390354</v>
      </c>
      <c r="AM139" s="71">
        <f t="shared" si="118"/>
        <v>0</v>
      </c>
      <c r="AN139" s="188">
        <f t="shared" si="108"/>
        <v>0.3431132710280374</v>
      </c>
      <c r="AO139" s="74">
        <f t="shared" si="119"/>
        <v>0.887800769731941</v>
      </c>
      <c r="AP139" s="73">
        <f t="shared" si="109"/>
        <v>0.99343572206791475</v>
      </c>
      <c r="AQ139" s="206">
        <f t="shared" si="110"/>
        <v>1.5232681071708025</v>
      </c>
      <c r="AR139" s="206">
        <f t="shared" si="111"/>
        <v>3.0218089420955812</v>
      </c>
      <c r="AS139" s="71">
        <f t="shared" si="112"/>
        <v>0.12000000000000001</v>
      </c>
      <c r="AT139" s="74">
        <f t="shared" si="113"/>
        <v>3.6299999999999995E-5</v>
      </c>
      <c r="AU139" s="73">
        <f t="shared" si="120"/>
        <v>19.101034940830921</v>
      </c>
      <c r="AV139" s="71">
        <f t="shared" si="121"/>
        <v>282.48</v>
      </c>
      <c r="AW139" s="74">
        <f t="shared" si="122"/>
        <v>93.666367334876185</v>
      </c>
    </row>
    <row r="140" spans="17:49" x14ac:dyDescent="0.25">
      <c r="Q140">
        <v>133</v>
      </c>
      <c r="R140" s="73">
        <f t="shared" si="96"/>
        <v>53.5</v>
      </c>
      <c r="S140" s="71">
        <f t="shared" si="97"/>
        <v>5.32</v>
      </c>
      <c r="T140" s="71">
        <f t="shared" si="98"/>
        <v>11</v>
      </c>
      <c r="U140" s="74">
        <f t="shared" si="99"/>
        <v>25.874545454545455</v>
      </c>
      <c r="V140" s="73">
        <f>IF(Variable_Management!$B$20=3,2,IF((S140*R140/T140)&lt;((T140*(1-(T140/R140)))/(2*Lm*Fsw)),1,2))</f>
        <v>2</v>
      </c>
      <c r="W140" s="71">
        <f t="shared" si="100"/>
        <v>0.79439252336448596</v>
      </c>
      <c r="X140" s="74">
        <f t="shared" si="101"/>
        <v>0.20560747663551404</v>
      </c>
      <c r="Y140" s="73">
        <f t="shared" si="102"/>
        <v>5.8255451713395638</v>
      </c>
      <c r="Z140" s="71">
        <f t="shared" si="77"/>
        <v>28.787318040215236</v>
      </c>
      <c r="AA140" s="71">
        <f t="shared" si="78"/>
        <v>25.929137738419854</v>
      </c>
      <c r="AB140" s="71">
        <v>0</v>
      </c>
      <c r="AC140" s="71">
        <f t="shared" si="103"/>
        <v>1.5463364228732819</v>
      </c>
      <c r="AD140" s="74">
        <f t="shared" si="114"/>
        <v>1.5463364228732819</v>
      </c>
      <c r="AE140" s="73">
        <f t="shared" si="123"/>
        <v>20.554545454545455</v>
      </c>
      <c r="AF140" s="71">
        <f t="shared" si="115"/>
        <v>23.110303489218634</v>
      </c>
      <c r="AG140" s="71">
        <f t="shared" si="104"/>
        <v>2.1363445094551641</v>
      </c>
      <c r="AH140" s="71">
        <f t="shared" si="105"/>
        <v>8.9945709185544285</v>
      </c>
      <c r="AI140" s="74">
        <f t="shared" si="116"/>
        <v>11.130915428009592</v>
      </c>
      <c r="AJ140" s="73">
        <f t="shared" si="117"/>
        <v>5.32</v>
      </c>
      <c r="AK140" s="71">
        <f t="shared" si="106"/>
        <v>11.757298009923781</v>
      </c>
      <c r="AL140" s="71">
        <f t="shared" si="107"/>
        <v>0.55293622597663084</v>
      </c>
      <c r="AM140" s="71">
        <f t="shared" si="118"/>
        <v>0</v>
      </c>
      <c r="AN140" s="188">
        <f t="shared" si="108"/>
        <v>0.34544781648258283</v>
      </c>
      <c r="AO140" s="74">
        <f t="shared" si="119"/>
        <v>0.89838404245921366</v>
      </c>
      <c r="AP140" s="73">
        <f t="shared" si="109"/>
        <v>1.0084802757869231</v>
      </c>
      <c r="AQ140" s="206">
        <f t="shared" si="110"/>
        <v>1.5463364228732819</v>
      </c>
      <c r="AR140" s="206">
        <f t="shared" si="111"/>
        <v>3.0218089420955812</v>
      </c>
      <c r="AS140" s="71">
        <f t="shared" si="112"/>
        <v>0.12000000000000001</v>
      </c>
      <c r="AT140" s="74">
        <f t="shared" si="113"/>
        <v>3.6299999999999995E-5</v>
      </c>
      <c r="AU140" s="73">
        <f t="shared" si="120"/>
        <v>19.272297834097873</v>
      </c>
      <c r="AV140" s="71">
        <f t="shared" si="121"/>
        <v>284.62</v>
      </c>
      <c r="AW140" s="74">
        <f t="shared" si="122"/>
        <v>93.658181542784916</v>
      </c>
    </row>
    <row r="141" spans="17:49" x14ac:dyDescent="0.25">
      <c r="Q141">
        <v>134</v>
      </c>
      <c r="R141" s="73">
        <f t="shared" si="96"/>
        <v>53.5</v>
      </c>
      <c r="S141" s="71">
        <f t="shared" si="97"/>
        <v>5.36</v>
      </c>
      <c r="T141" s="71">
        <f t="shared" si="98"/>
        <v>11</v>
      </c>
      <c r="U141" s="74">
        <f t="shared" si="99"/>
        <v>26.069090909090907</v>
      </c>
      <c r="V141" s="73">
        <f>IF(Variable_Management!$B$20=3,2,IF((S141*R141/T141)&lt;((T141*(1-(T141/R141)))/(2*Lm*Fsw)),1,2))</f>
        <v>2</v>
      </c>
      <c r="W141" s="71">
        <f t="shared" si="100"/>
        <v>0.79439252336448596</v>
      </c>
      <c r="X141" s="74">
        <f t="shared" si="101"/>
        <v>0.20560747663551404</v>
      </c>
      <c r="Y141" s="73">
        <f t="shared" si="102"/>
        <v>5.8255451713395638</v>
      </c>
      <c r="Z141" s="71">
        <f t="shared" si="77"/>
        <v>28.981863494760688</v>
      </c>
      <c r="AA141" s="71">
        <f t="shared" si="78"/>
        <v>26.123276636077946</v>
      </c>
      <c r="AB141" s="71">
        <v>0</v>
      </c>
      <c r="AC141" s="71">
        <f t="shared" si="103"/>
        <v>1.5695788390716285</v>
      </c>
      <c r="AD141" s="74">
        <f t="shared" si="114"/>
        <v>1.5695788390716285</v>
      </c>
      <c r="AE141" s="73">
        <f t="shared" si="123"/>
        <v>20.709090909090907</v>
      </c>
      <c r="AF141" s="71">
        <f t="shared" si="115"/>
        <v>23.283336965657497</v>
      </c>
      <c r="AG141" s="71">
        <f t="shared" si="104"/>
        <v>2.1684551210254117</v>
      </c>
      <c r="AH141" s="71">
        <f t="shared" si="105"/>
        <v>9.0621992713255146</v>
      </c>
      <c r="AI141" s="74">
        <f t="shared" si="116"/>
        <v>11.230654392350926</v>
      </c>
      <c r="AJ141" s="73">
        <f t="shared" si="117"/>
        <v>5.36</v>
      </c>
      <c r="AK141" s="71">
        <f t="shared" si="106"/>
        <v>11.845328275261227</v>
      </c>
      <c r="AL141" s="71">
        <f t="shared" si="107"/>
        <v>0.56124720779481252</v>
      </c>
      <c r="AM141" s="71">
        <f t="shared" si="118"/>
        <v>0</v>
      </c>
      <c r="AN141" s="188">
        <f t="shared" si="108"/>
        <v>0.34778236193712825</v>
      </c>
      <c r="AO141" s="74">
        <f t="shared" si="119"/>
        <v>0.90902956973194082</v>
      </c>
      <c r="AP141" s="73">
        <f t="shared" si="109"/>
        <v>1.0236383733075838</v>
      </c>
      <c r="AQ141" s="206">
        <f t="shared" si="110"/>
        <v>1.5695788390716285</v>
      </c>
      <c r="AR141" s="206">
        <f t="shared" si="111"/>
        <v>3.0218089420955812</v>
      </c>
      <c r="AS141" s="71">
        <f t="shared" si="112"/>
        <v>0.12000000000000001</v>
      </c>
      <c r="AT141" s="74">
        <f t="shared" si="113"/>
        <v>3.6299999999999995E-5</v>
      </c>
      <c r="AU141" s="73">
        <f t="shared" si="120"/>
        <v>19.444325255629288</v>
      </c>
      <c r="AV141" s="71">
        <f t="shared" si="121"/>
        <v>286.76</v>
      </c>
      <c r="AW141" s="74">
        <f t="shared" si="122"/>
        <v>93.649885500671317</v>
      </c>
    </row>
    <row r="142" spans="17:49" x14ac:dyDescent="0.25">
      <c r="Q142">
        <v>135</v>
      </c>
      <c r="R142" s="73">
        <f t="shared" si="96"/>
        <v>53.5</v>
      </c>
      <c r="S142" s="71">
        <f t="shared" si="97"/>
        <v>5.4</v>
      </c>
      <c r="T142" s="71">
        <f t="shared" si="98"/>
        <v>11</v>
      </c>
      <c r="U142" s="74">
        <f t="shared" si="99"/>
        <v>26.263636363636365</v>
      </c>
      <c r="V142" s="73">
        <f>IF(Variable_Management!$B$20=3,2,IF((S142*R142/T142)&lt;((T142*(1-(T142/R142)))/(2*Lm*Fsw)),1,2))</f>
        <v>2</v>
      </c>
      <c r="W142" s="71">
        <f t="shared" si="100"/>
        <v>0.79439252336448596</v>
      </c>
      <c r="X142" s="74">
        <f t="shared" si="101"/>
        <v>0.20560747663551404</v>
      </c>
      <c r="Y142" s="73">
        <f t="shared" si="102"/>
        <v>5.8255451713395638</v>
      </c>
      <c r="Z142" s="71">
        <f t="shared" si="77"/>
        <v>29.176408949306147</v>
      </c>
      <c r="AA142" s="71">
        <f t="shared" si="78"/>
        <v>26.317421538211761</v>
      </c>
      <c r="AB142" s="71">
        <v>0</v>
      </c>
      <c r="AC142" s="71">
        <f t="shared" si="103"/>
        <v>1.5929953557658443</v>
      </c>
      <c r="AD142" s="74">
        <f t="shared" si="114"/>
        <v>1.5929953557658443</v>
      </c>
      <c r="AE142" s="73">
        <f t="shared" si="123"/>
        <v>20.863636363636363</v>
      </c>
      <c r="AF142" s="71">
        <f t="shared" si="115"/>
        <v>23.456375793807531</v>
      </c>
      <c r="AG142" s="71">
        <f t="shared" si="104"/>
        <v>2.2008062615212793</v>
      </c>
      <c r="AH142" s="71">
        <f t="shared" si="105"/>
        <v>9.1298276240966008</v>
      </c>
      <c r="AI142" s="74">
        <f t="shared" si="116"/>
        <v>11.33063388561788</v>
      </c>
      <c r="AJ142" s="73">
        <f t="shared" si="117"/>
        <v>5.4000000000000012</v>
      </c>
      <c r="AK142" s="71">
        <f t="shared" si="106"/>
        <v>11.933361263265779</v>
      </c>
      <c r="AL142" s="71">
        <f t="shared" si="107"/>
        <v>0.56962044415844892</v>
      </c>
      <c r="AM142" s="71">
        <f t="shared" si="118"/>
        <v>0</v>
      </c>
      <c r="AN142" s="188">
        <f t="shared" si="108"/>
        <v>0.35011690739167378</v>
      </c>
      <c r="AO142" s="74">
        <f t="shared" si="119"/>
        <v>0.91973735155012271</v>
      </c>
      <c r="AP142" s="73">
        <f t="shared" si="109"/>
        <v>1.0389100146298986</v>
      </c>
      <c r="AQ142" s="206">
        <f t="shared" si="110"/>
        <v>1.5929953557658443</v>
      </c>
      <c r="AR142" s="206">
        <f t="shared" si="111"/>
        <v>3.0218089420955812</v>
      </c>
      <c r="AS142" s="71">
        <f t="shared" si="112"/>
        <v>0.12000000000000001</v>
      </c>
      <c r="AT142" s="74">
        <f t="shared" si="113"/>
        <v>3.6299999999999995E-5</v>
      </c>
      <c r="AU142" s="73">
        <f t="shared" si="120"/>
        <v>19.617117205425171</v>
      </c>
      <c r="AV142" s="71">
        <f t="shared" si="121"/>
        <v>288.90000000000003</v>
      </c>
      <c r="AW142" s="74">
        <f t="shared" si="122"/>
        <v>93.641481748851177</v>
      </c>
    </row>
    <row r="143" spans="17:49" x14ac:dyDescent="0.25">
      <c r="Q143">
        <v>136</v>
      </c>
      <c r="R143" s="73">
        <f t="shared" si="96"/>
        <v>53.5</v>
      </c>
      <c r="S143" s="71">
        <f t="shared" si="97"/>
        <v>5.44</v>
      </c>
      <c r="T143" s="71">
        <f t="shared" si="98"/>
        <v>11</v>
      </c>
      <c r="U143" s="74">
        <f t="shared" si="99"/>
        <v>26.458181818181821</v>
      </c>
      <c r="V143" s="73">
        <f>IF(Variable_Management!$B$20=3,2,IF((S143*R143/T143)&lt;((T143*(1-(T143/R143)))/(2*Lm*Fsw)),1,2))</f>
        <v>2</v>
      </c>
      <c r="W143" s="71">
        <f t="shared" si="100"/>
        <v>0.79439252336448596</v>
      </c>
      <c r="X143" s="74">
        <f t="shared" si="101"/>
        <v>0.20560747663551404</v>
      </c>
      <c r="Y143" s="73">
        <f t="shared" si="102"/>
        <v>5.8255451713395638</v>
      </c>
      <c r="Z143" s="71">
        <f t="shared" si="77"/>
        <v>29.370954403851602</v>
      </c>
      <c r="AA143" s="71">
        <f t="shared" si="78"/>
        <v>26.511572312908505</v>
      </c>
      <c r="AB143" s="71">
        <v>0</v>
      </c>
      <c r="AC143" s="71">
        <f t="shared" si="103"/>
        <v>1.6165859729559269</v>
      </c>
      <c r="AD143" s="74">
        <f t="shared" si="114"/>
        <v>1.6165859729559269</v>
      </c>
      <c r="AE143" s="73">
        <f t="shared" si="123"/>
        <v>21.018181818181819</v>
      </c>
      <c r="AF143" s="71">
        <f t="shared" si="115"/>
        <v>23.62941985609659</v>
      </c>
      <c r="AG143" s="71">
        <f t="shared" si="104"/>
        <v>2.2333979309427674</v>
      </c>
      <c r="AH143" s="71">
        <f t="shared" si="105"/>
        <v>9.1974559768676887</v>
      </c>
      <c r="AI143" s="74">
        <f t="shared" si="116"/>
        <v>11.430853907810455</v>
      </c>
      <c r="AJ143" s="73">
        <f t="shared" si="117"/>
        <v>5.4400000000000013</v>
      </c>
      <c r="AK143" s="71">
        <f t="shared" si="106"/>
        <v>12.021396914122958</v>
      </c>
      <c r="AL143" s="71">
        <f t="shared" si="107"/>
        <v>0.57805593506753983</v>
      </c>
      <c r="AM143" s="71">
        <f t="shared" si="118"/>
        <v>0</v>
      </c>
      <c r="AN143" s="188">
        <f t="shared" si="108"/>
        <v>0.35245145284621926</v>
      </c>
      <c r="AO143" s="74">
        <f t="shared" si="119"/>
        <v>0.93050738791375909</v>
      </c>
      <c r="AP143" s="73">
        <f t="shared" si="109"/>
        <v>1.0542951997538654</v>
      </c>
      <c r="AQ143" s="206">
        <f t="shared" si="110"/>
        <v>1.6165859729559269</v>
      </c>
      <c r="AR143" s="206">
        <f t="shared" si="111"/>
        <v>3.0218089420955812</v>
      </c>
      <c r="AS143" s="71">
        <f t="shared" si="112"/>
        <v>0.12000000000000001</v>
      </c>
      <c r="AT143" s="74">
        <f t="shared" si="113"/>
        <v>3.6299999999999995E-5</v>
      </c>
      <c r="AU143" s="73">
        <f t="shared" si="120"/>
        <v>19.790673683485515</v>
      </c>
      <c r="AV143" s="71">
        <f t="shared" si="121"/>
        <v>291.04000000000002</v>
      </c>
      <c r="AW143" s="74">
        <f t="shared" si="122"/>
        <v>93.632972753635599</v>
      </c>
    </row>
    <row r="144" spans="17:49" x14ac:dyDescent="0.25">
      <c r="Q144">
        <v>137</v>
      </c>
      <c r="R144" s="73">
        <f t="shared" si="96"/>
        <v>53.5</v>
      </c>
      <c r="S144" s="71">
        <f t="shared" si="97"/>
        <v>5.48</v>
      </c>
      <c r="T144" s="71">
        <f t="shared" si="98"/>
        <v>11</v>
      </c>
      <c r="U144" s="74">
        <f t="shared" si="99"/>
        <v>26.652727272727272</v>
      </c>
      <c r="V144" s="73">
        <f>IF(Variable_Management!$B$20=3,2,IF((S144*R144/T144)&lt;((T144*(1-(T144/R144)))/(2*Lm*Fsw)),1,2))</f>
        <v>2</v>
      </c>
      <c r="W144" s="71">
        <f t="shared" si="100"/>
        <v>0.79439252336448596</v>
      </c>
      <c r="X144" s="74">
        <f t="shared" si="101"/>
        <v>0.20560747663551404</v>
      </c>
      <c r="Y144" s="73">
        <f t="shared" si="102"/>
        <v>5.8255451713395638</v>
      </c>
      <c r="Z144" s="71">
        <f t="shared" ref="Z144:Z157" si="124">CHOOSE(V144,Y144,U144+(0.5*Y144))</f>
        <v>29.565499858397054</v>
      </c>
      <c r="AA144" s="71">
        <f t="shared" ref="AA144:AA157" si="125">CHOOSE(V144,Z144*SQRT((W144+X144)/3),SQRT((U144^2)+((Y144^2)/12)))</f>
        <v>26.705728832087505</v>
      </c>
      <c r="AB144" s="71">
        <v>0</v>
      </c>
      <c r="AC144" s="71">
        <f t="shared" si="103"/>
        <v>1.6403506906418768</v>
      </c>
      <c r="AD144" s="74">
        <f t="shared" si="114"/>
        <v>1.6403506906418768</v>
      </c>
      <c r="AE144" s="73">
        <f t="shared" si="123"/>
        <v>21.172727272727272</v>
      </c>
      <c r="AF144" s="71">
        <f t="shared" si="115"/>
        <v>23.802469038368027</v>
      </c>
      <c r="AG144" s="71">
        <f t="shared" si="104"/>
        <v>2.2662301292898741</v>
      </c>
      <c r="AH144" s="71">
        <f t="shared" si="105"/>
        <v>9.265084329638773</v>
      </c>
      <c r="AI144" s="74">
        <f t="shared" si="116"/>
        <v>11.531314458928648</v>
      </c>
      <c r="AJ144" s="73">
        <f t="shared" si="117"/>
        <v>5.48</v>
      </c>
      <c r="AK144" s="71">
        <f t="shared" si="106"/>
        <v>12.109435169755908</v>
      </c>
      <c r="AL144" s="71">
        <f t="shared" si="107"/>
        <v>0.58655368052208523</v>
      </c>
      <c r="AM144" s="71">
        <f t="shared" si="118"/>
        <v>0</v>
      </c>
      <c r="AN144" s="188">
        <f t="shared" si="108"/>
        <v>0.35478599830076463</v>
      </c>
      <c r="AO144" s="74">
        <f t="shared" si="119"/>
        <v>0.94133967882284986</v>
      </c>
      <c r="AP144" s="73">
        <f t="shared" si="109"/>
        <v>1.0697939286794849</v>
      </c>
      <c r="AQ144" s="206">
        <f t="shared" si="110"/>
        <v>1.6403506906418768</v>
      </c>
      <c r="AR144" s="206">
        <f t="shared" si="111"/>
        <v>3.0218089420955812</v>
      </c>
      <c r="AS144" s="71">
        <f t="shared" si="112"/>
        <v>0.12000000000000001</v>
      </c>
      <c r="AT144" s="74">
        <f t="shared" si="113"/>
        <v>3.6299999999999995E-5</v>
      </c>
      <c r="AU144" s="73">
        <f t="shared" si="120"/>
        <v>19.964994689810318</v>
      </c>
      <c r="AV144" s="71">
        <f t="shared" si="121"/>
        <v>293.18</v>
      </c>
      <c r="AW144" s="74">
        <f t="shared" si="122"/>
        <v>93.624360910003716</v>
      </c>
    </row>
    <row r="145" spans="17:49" x14ac:dyDescent="0.25">
      <c r="Q145">
        <v>138</v>
      </c>
      <c r="R145" s="73">
        <f t="shared" si="96"/>
        <v>53.5</v>
      </c>
      <c r="S145" s="71">
        <f t="shared" si="97"/>
        <v>5.5200000000000005</v>
      </c>
      <c r="T145" s="71">
        <f t="shared" si="98"/>
        <v>11</v>
      </c>
      <c r="U145" s="74">
        <f t="shared" si="99"/>
        <v>26.847272727272731</v>
      </c>
      <c r="V145" s="73">
        <f>IF(Variable_Management!$B$20=3,2,IF((S145*R145/T145)&lt;((T145*(1-(T145/R145)))/(2*Lm*Fsw)),1,2))</f>
        <v>2</v>
      </c>
      <c r="W145" s="71">
        <f t="shared" si="100"/>
        <v>0.79439252336448596</v>
      </c>
      <c r="X145" s="74">
        <f t="shared" si="101"/>
        <v>0.20560747663551404</v>
      </c>
      <c r="Y145" s="73">
        <f t="shared" si="102"/>
        <v>5.8255451713395638</v>
      </c>
      <c r="Z145" s="71">
        <f t="shared" si="124"/>
        <v>29.760045312942513</v>
      </c>
      <c r="AA145" s="71">
        <f t="shared" si="125"/>
        <v>26.899890971362172</v>
      </c>
      <c r="AB145" s="71">
        <v>0</v>
      </c>
      <c r="AC145" s="71">
        <f t="shared" si="103"/>
        <v>1.664289508823696</v>
      </c>
      <c r="AD145" s="74">
        <f t="shared" si="114"/>
        <v>1.664289508823696</v>
      </c>
      <c r="AE145" s="73">
        <f t="shared" si="123"/>
        <v>21.327272727272728</v>
      </c>
      <c r="AF145" s="71">
        <f t="shared" si="115"/>
        <v>23.975523229757687</v>
      </c>
      <c r="AG145" s="71">
        <f t="shared" si="104"/>
        <v>2.2993028565626017</v>
      </c>
      <c r="AH145" s="71">
        <f t="shared" si="105"/>
        <v>9.3327126824098592</v>
      </c>
      <c r="AI145" s="74">
        <f t="shared" si="116"/>
        <v>11.63201553897246</v>
      </c>
      <c r="AJ145" s="73">
        <f t="shared" si="117"/>
        <v>5.5200000000000014</v>
      </c>
      <c r="AK145" s="71">
        <f t="shared" si="106"/>
        <v>12.197475973762824</v>
      </c>
      <c r="AL145" s="71">
        <f t="shared" si="107"/>
        <v>0.59511368052208535</v>
      </c>
      <c r="AM145" s="71">
        <f t="shared" si="118"/>
        <v>0</v>
      </c>
      <c r="AN145" s="188">
        <f t="shared" si="108"/>
        <v>0.35712054375531016</v>
      </c>
      <c r="AO145" s="74">
        <f t="shared" si="119"/>
        <v>0.95223422427739557</v>
      </c>
      <c r="AP145" s="73">
        <f t="shared" si="109"/>
        <v>1.0854062014067583</v>
      </c>
      <c r="AQ145" s="206">
        <f t="shared" si="110"/>
        <v>1.664289508823696</v>
      </c>
      <c r="AR145" s="206">
        <f t="shared" si="111"/>
        <v>3.0218089420955812</v>
      </c>
      <c r="AS145" s="71">
        <f t="shared" si="112"/>
        <v>0.12000000000000001</v>
      </c>
      <c r="AT145" s="74">
        <f t="shared" si="113"/>
        <v>3.6299999999999995E-5</v>
      </c>
      <c r="AU145" s="73">
        <f t="shared" si="120"/>
        <v>20.140080224399586</v>
      </c>
      <c r="AV145" s="71">
        <f t="shared" si="121"/>
        <v>295.32000000000005</v>
      </c>
      <c r="AW145" s="74">
        <f t="shared" si="122"/>
        <v>93.615648544160294</v>
      </c>
    </row>
    <row r="146" spans="17:49" x14ac:dyDescent="0.25">
      <c r="Q146">
        <v>139</v>
      </c>
      <c r="R146" s="73">
        <f t="shared" si="96"/>
        <v>53.5</v>
      </c>
      <c r="S146" s="71">
        <f t="shared" si="97"/>
        <v>5.5600000000000005</v>
      </c>
      <c r="T146" s="71">
        <f t="shared" si="98"/>
        <v>11</v>
      </c>
      <c r="U146" s="74">
        <f t="shared" si="99"/>
        <v>27.041818181818186</v>
      </c>
      <c r="V146" s="73">
        <f>IF(Variable_Management!$B$20=3,2,IF((S146*R146/T146)&lt;((T146*(1-(T146/R146)))/(2*Lm*Fsw)),1,2))</f>
        <v>2</v>
      </c>
      <c r="W146" s="71">
        <f t="shared" si="100"/>
        <v>0.79439252336448596</v>
      </c>
      <c r="X146" s="74">
        <f t="shared" si="101"/>
        <v>0.20560747663551404</v>
      </c>
      <c r="Y146" s="73">
        <f t="shared" si="102"/>
        <v>5.8255451713395638</v>
      </c>
      <c r="Z146" s="71">
        <f t="shared" si="124"/>
        <v>29.954590767487968</v>
      </c>
      <c r="AA146" s="71">
        <f t="shared" si="125"/>
        <v>27.094058609907865</v>
      </c>
      <c r="AB146" s="71">
        <v>0</v>
      </c>
      <c r="AC146" s="71">
        <f t="shared" si="103"/>
        <v>1.6884024275013818</v>
      </c>
      <c r="AD146" s="74">
        <f t="shared" si="114"/>
        <v>1.6884024275013818</v>
      </c>
      <c r="AE146" s="73">
        <f t="shared" si="123"/>
        <v>21.481818181818184</v>
      </c>
      <c r="AF146" s="71">
        <f t="shared" si="115"/>
        <v>24.14858232257615</v>
      </c>
      <c r="AG146" s="71">
        <f t="shared" si="104"/>
        <v>2.3326161127609493</v>
      </c>
      <c r="AH146" s="71">
        <f t="shared" si="105"/>
        <v>9.4003410351809471</v>
      </c>
      <c r="AI146" s="74">
        <f t="shared" si="116"/>
        <v>11.732957147941896</v>
      </c>
      <c r="AJ146" s="73">
        <f t="shared" si="117"/>
        <v>5.5600000000000014</v>
      </c>
      <c r="AK146" s="71">
        <f t="shared" si="106"/>
        <v>12.28551927135703</v>
      </c>
      <c r="AL146" s="71">
        <f t="shared" si="107"/>
        <v>0.60373593506753997</v>
      </c>
      <c r="AM146" s="71">
        <f t="shared" si="118"/>
        <v>0</v>
      </c>
      <c r="AN146" s="188">
        <f t="shared" si="108"/>
        <v>0.35945508920985564</v>
      </c>
      <c r="AO146" s="74">
        <f t="shared" si="119"/>
        <v>0.96319102427739556</v>
      </c>
      <c r="AP146" s="73">
        <f t="shared" si="109"/>
        <v>1.1011320179356838</v>
      </c>
      <c r="AQ146" s="206">
        <f t="shared" si="110"/>
        <v>1.6884024275013818</v>
      </c>
      <c r="AR146" s="206">
        <f t="shared" si="111"/>
        <v>3.0218089420955812</v>
      </c>
      <c r="AS146" s="71">
        <f t="shared" si="112"/>
        <v>0.12000000000000001</v>
      </c>
      <c r="AT146" s="74">
        <f t="shared" si="113"/>
        <v>3.6299999999999995E-5</v>
      </c>
      <c r="AU146" s="73">
        <f t="shared" si="120"/>
        <v>20.31593028725332</v>
      </c>
      <c r="AV146" s="71">
        <f t="shared" si="121"/>
        <v>297.46000000000004</v>
      </c>
      <c r="AW146" s="74">
        <f t="shared" si="122"/>
        <v>93.606837915984158</v>
      </c>
    </row>
    <row r="147" spans="17:49" x14ac:dyDescent="0.25">
      <c r="Q147">
        <v>140</v>
      </c>
      <c r="R147" s="73">
        <f t="shared" si="96"/>
        <v>53.5</v>
      </c>
      <c r="S147" s="71">
        <f t="shared" si="97"/>
        <v>5.6000000000000005</v>
      </c>
      <c r="T147" s="71">
        <f t="shared" si="98"/>
        <v>11</v>
      </c>
      <c r="U147" s="74">
        <f t="shared" si="99"/>
        <v>27.236363636363638</v>
      </c>
      <c r="V147" s="73">
        <f>IF(Variable_Management!$B$20=3,2,IF((S147*R147/T147)&lt;((T147*(1-(T147/R147)))/(2*Lm*Fsw)),1,2))</f>
        <v>2</v>
      </c>
      <c r="W147" s="71">
        <f t="shared" si="100"/>
        <v>0.79439252336448596</v>
      </c>
      <c r="X147" s="74">
        <f t="shared" si="101"/>
        <v>0.20560747663551404</v>
      </c>
      <c r="Y147" s="73">
        <f t="shared" si="102"/>
        <v>5.8255451713395638</v>
      </c>
      <c r="Z147" s="71">
        <f t="shared" si="124"/>
        <v>30.14913622203342</v>
      </c>
      <c r="AA147" s="71">
        <f t="shared" si="125"/>
        <v>27.288231630335471</v>
      </c>
      <c r="AB147" s="71">
        <v>0</v>
      </c>
      <c r="AC147" s="71">
        <f t="shared" si="103"/>
        <v>1.7126894466749349</v>
      </c>
      <c r="AD147" s="74">
        <f t="shared" si="114"/>
        <v>1.7126894466749349</v>
      </c>
      <c r="AE147" s="73">
        <f t="shared" si="123"/>
        <v>21.636363636363637</v>
      </c>
      <c r="AF147" s="71">
        <f t="shared" si="115"/>
        <v>24.321646212196022</v>
      </c>
      <c r="AG147" s="71">
        <f t="shared" si="104"/>
        <v>2.3661698978849164</v>
      </c>
      <c r="AH147" s="71">
        <f t="shared" si="105"/>
        <v>9.4679693879520315</v>
      </c>
      <c r="AI147" s="74">
        <f t="shared" si="116"/>
        <v>11.834139285836947</v>
      </c>
      <c r="AJ147" s="73">
        <f t="shared" si="117"/>
        <v>5.6000000000000014</v>
      </c>
      <c r="AK147" s="71">
        <f t="shared" si="106"/>
        <v>12.373565009309655</v>
      </c>
      <c r="AL147" s="71">
        <f t="shared" si="107"/>
        <v>0.61242044415844898</v>
      </c>
      <c r="AM147" s="71">
        <f t="shared" si="118"/>
        <v>0</v>
      </c>
      <c r="AN147" s="188">
        <f t="shared" si="108"/>
        <v>0.36178963466440106</v>
      </c>
      <c r="AO147" s="74">
        <f t="shared" si="119"/>
        <v>0.97421007882285005</v>
      </c>
      <c r="AP147" s="73">
        <f t="shared" si="109"/>
        <v>1.116971378266262</v>
      </c>
      <c r="AQ147" s="206">
        <f t="shared" si="110"/>
        <v>1.7126894466749349</v>
      </c>
      <c r="AR147" s="206">
        <f t="shared" si="111"/>
        <v>3.0218089420955812</v>
      </c>
      <c r="AS147" s="71">
        <f t="shared" si="112"/>
        <v>0.12000000000000001</v>
      </c>
      <c r="AT147" s="74">
        <f t="shared" si="113"/>
        <v>3.6299999999999995E-5</v>
      </c>
      <c r="AU147" s="73">
        <f t="shared" si="120"/>
        <v>20.492544878371511</v>
      </c>
      <c r="AV147" s="71">
        <f t="shared" si="121"/>
        <v>299.60000000000002</v>
      </c>
      <c r="AW147" s="74">
        <f t="shared" si="122"/>
        <v>93.597931221372789</v>
      </c>
    </row>
    <row r="148" spans="17:49" x14ac:dyDescent="0.25">
      <c r="Q148">
        <v>141</v>
      </c>
      <c r="R148" s="73">
        <f t="shared" si="96"/>
        <v>53.5</v>
      </c>
      <c r="S148" s="71">
        <f t="shared" si="97"/>
        <v>5.64</v>
      </c>
      <c r="T148" s="71">
        <f t="shared" si="98"/>
        <v>11</v>
      </c>
      <c r="U148" s="74">
        <f t="shared" si="99"/>
        <v>27.430909090909093</v>
      </c>
      <c r="V148" s="73">
        <f>IF(Variable_Management!$B$20=3,2,IF((S148*R148/T148)&lt;((T148*(1-(T148/R148)))/(2*Lm*Fsw)),1,2))</f>
        <v>2</v>
      </c>
      <c r="W148" s="71">
        <f t="shared" si="100"/>
        <v>0.79439252336448596</v>
      </c>
      <c r="X148" s="74">
        <f t="shared" si="101"/>
        <v>0.20560747663551404</v>
      </c>
      <c r="Y148" s="73">
        <f t="shared" si="102"/>
        <v>5.8255451713395638</v>
      </c>
      <c r="Z148" s="71">
        <f t="shared" si="124"/>
        <v>30.343681676578875</v>
      </c>
      <c r="AA148" s="71">
        <f t="shared" si="125"/>
        <v>27.482409918570259</v>
      </c>
      <c r="AB148" s="71">
        <v>0</v>
      </c>
      <c r="AC148" s="71">
        <f t="shared" si="103"/>
        <v>1.7371505663443567</v>
      </c>
      <c r="AD148" s="74">
        <f t="shared" si="114"/>
        <v>1.7371505663443567</v>
      </c>
      <c r="AE148" s="73">
        <f t="shared" si="123"/>
        <v>21.790909090909093</v>
      </c>
      <c r="AF148" s="71">
        <f t="shared" si="115"/>
        <v>24.494714796943967</v>
      </c>
      <c r="AG148" s="71">
        <f t="shared" si="104"/>
        <v>2.399964211934503</v>
      </c>
      <c r="AH148" s="71">
        <f t="shared" si="105"/>
        <v>9.5355977407231176</v>
      </c>
      <c r="AI148" s="74">
        <f t="shared" si="116"/>
        <v>11.93556195265762</v>
      </c>
      <c r="AJ148" s="73">
        <f t="shared" si="117"/>
        <v>5.6400000000000015</v>
      </c>
      <c r="AK148" s="71">
        <f t="shared" si="106"/>
        <v>12.461613135894693</v>
      </c>
      <c r="AL148" s="71">
        <f t="shared" si="107"/>
        <v>0.6211672077948126</v>
      </c>
      <c r="AM148" s="71">
        <f t="shared" si="118"/>
        <v>0</v>
      </c>
      <c r="AN148" s="188">
        <f t="shared" si="108"/>
        <v>0.36412418011894648</v>
      </c>
      <c r="AO148" s="74">
        <f t="shared" si="119"/>
        <v>0.98529138791375903</v>
      </c>
      <c r="AP148" s="73">
        <f t="shared" si="109"/>
        <v>1.1329242823984935</v>
      </c>
      <c r="AQ148" s="206">
        <f t="shared" si="110"/>
        <v>1.7371505663443567</v>
      </c>
      <c r="AR148" s="206">
        <f t="shared" si="111"/>
        <v>3.0218089420955812</v>
      </c>
      <c r="AS148" s="71">
        <f t="shared" si="112"/>
        <v>0.12000000000000001</v>
      </c>
      <c r="AT148" s="74">
        <f t="shared" si="113"/>
        <v>3.6299999999999995E-5</v>
      </c>
      <c r="AU148" s="73">
        <f t="shared" si="120"/>
        <v>20.669923997754168</v>
      </c>
      <c r="AV148" s="71">
        <f t="shared" si="121"/>
        <v>301.74</v>
      </c>
      <c r="AW148" s="74">
        <f t="shared" si="122"/>
        <v>93.588930594488104</v>
      </c>
    </row>
    <row r="149" spans="17:49" x14ac:dyDescent="0.25">
      <c r="Q149">
        <v>142</v>
      </c>
      <c r="R149" s="73">
        <f t="shared" si="96"/>
        <v>53.5</v>
      </c>
      <c r="S149" s="71">
        <f t="shared" si="97"/>
        <v>5.68</v>
      </c>
      <c r="T149" s="71">
        <f t="shared" si="98"/>
        <v>11</v>
      </c>
      <c r="U149" s="74">
        <f t="shared" si="99"/>
        <v>27.625454545454545</v>
      </c>
      <c r="V149" s="73">
        <f>IF(Variable_Management!$B$20=3,2,IF((S149*R149/T149)&lt;((T149*(1-(T149/R149)))/(2*Lm*Fsw)),1,2))</f>
        <v>2</v>
      </c>
      <c r="W149" s="71">
        <f t="shared" si="100"/>
        <v>0.79439252336448596</v>
      </c>
      <c r="X149" s="74">
        <f t="shared" si="101"/>
        <v>0.20560747663551404</v>
      </c>
      <c r="Y149" s="73">
        <f t="shared" si="102"/>
        <v>5.8255451713395638</v>
      </c>
      <c r="Z149" s="71">
        <f t="shared" si="124"/>
        <v>30.538227131124327</v>
      </c>
      <c r="AA149" s="71">
        <f t="shared" si="125"/>
        <v>27.676593363735808</v>
      </c>
      <c r="AB149" s="71">
        <v>0</v>
      </c>
      <c r="AC149" s="71">
        <f t="shared" si="103"/>
        <v>1.7617857865096456</v>
      </c>
      <c r="AD149" s="74">
        <f t="shared" si="114"/>
        <v>1.7617857865096456</v>
      </c>
      <c r="AE149" s="73">
        <f t="shared" si="123"/>
        <v>21.945454545454545</v>
      </c>
      <c r="AF149" s="71">
        <f t="shared" si="115"/>
        <v>24.667787977997282</v>
      </c>
      <c r="AG149" s="71">
        <f t="shared" si="104"/>
        <v>2.4339990549097088</v>
      </c>
      <c r="AH149" s="71">
        <f t="shared" si="105"/>
        <v>9.603226093494202</v>
      </c>
      <c r="AI149" s="74">
        <f t="shared" si="116"/>
        <v>12.037225148403911</v>
      </c>
      <c r="AJ149" s="73">
        <f t="shared" si="117"/>
        <v>5.6800000000000006</v>
      </c>
      <c r="AK149" s="71">
        <f t="shared" si="106"/>
        <v>12.549663600836386</v>
      </c>
      <c r="AL149" s="71">
        <f t="shared" si="107"/>
        <v>0.62997622597663072</v>
      </c>
      <c r="AM149" s="71">
        <f t="shared" si="118"/>
        <v>0</v>
      </c>
      <c r="AN149" s="188">
        <f t="shared" si="108"/>
        <v>0.36645872557349191</v>
      </c>
      <c r="AO149" s="74">
        <f t="shared" si="119"/>
        <v>0.99643495155012263</v>
      </c>
      <c r="AP149" s="73">
        <f t="shared" si="109"/>
        <v>1.1489907303323774</v>
      </c>
      <c r="AQ149" s="206">
        <f t="shared" si="110"/>
        <v>1.7617857865096456</v>
      </c>
      <c r="AR149" s="206">
        <f t="shared" si="111"/>
        <v>3.0218089420955812</v>
      </c>
      <c r="AS149" s="71">
        <f t="shared" si="112"/>
        <v>0.12000000000000001</v>
      </c>
      <c r="AT149" s="74">
        <f t="shared" si="113"/>
        <v>3.6299999999999995E-5</v>
      </c>
      <c r="AU149" s="73">
        <f t="shared" si="120"/>
        <v>20.848067645401287</v>
      </c>
      <c r="AV149" s="71">
        <f t="shared" si="121"/>
        <v>303.88</v>
      </c>
      <c r="AW149" s="74">
        <f t="shared" si="122"/>
        <v>93.579838109908295</v>
      </c>
    </row>
    <row r="150" spans="17:49" x14ac:dyDescent="0.25">
      <c r="Q150">
        <v>143</v>
      </c>
      <c r="R150" s="73">
        <f t="shared" si="96"/>
        <v>53.5</v>
      </c>
      <c r="S150" s="71">
        <f t="shared" si="97"/>
        <v>5.72</v>
      </c>
      <c r="T150" s="71">
        <f t="shared" si="98"/>
        <v>11</v>
      </c>
      <c r="U150" s="74">
        <f t="shared" si="99"/>
        <v>27.819999999999997</v>
      </c>
      <c r="V150" s="73">
        <f>IF(Variable_Management!$B$20=3,2,IF((S150*R150/T150)&lt;((T150*(1-(T150/R150)))/(2*Lm*Fsw)),1,2))</f>
        <v>2</v>
      </c>
      <c r="W150" s="71">
        <f t="shared" si="100"/>
        <v>0.79439252336448596</v>
      </c>
      <c r="X150" s="74">
        <f t="shared" si="101"/>
        <v>0.20560747663551404</v>
      </c>
      <c r="Y150" s="73">
        <f t="shared" si="102"/>
        <v>5.8255451713395638</v>
      </c>
      <c r="Z150" s="71">
        <f t="shared" si="124"/>
        <v>30.732772585669778</v>
      </c>
      <c r="AA150" s="71">
        <f t="shared" si="125"/>
        <v>27.870781858042836</v>
      </c>
      <c r="AB150" s="71">
        <v>0</v>
      </c>
      <c r="AC150" s="71">
        <f t="shared" si="103"/>
        <v>1.7865951071708022</v>
      </c>
      <c r="AD150" s="74">
        <f t="shared" si="114"/>
        <v>1.7865951071708022</v>
      </c>
      <c r="AE150" s="73">
        <f t="shared" si="123"/>
        <v>22.099999999999998</v>
      </c>
      <c r="AF150" s="71">
        <f t="shared" si="115"/>
        <v>24.840865659284781</v>
      </c>
      <c r="AG150" s="71">
        <f t="shared" si="104"/>
        <v>2.4682744268105359</v>
      </c>
      <c r="AH150" s="71">
        <f t="shared" si="105"/>
        <v>9.6708544462652881</v>
      </c>
      <c r="AI150" s="74">
        <f t="shared" si="116"/>
        <v>12.139128873075824</v>
      </c>
      <c r="AJ150" s="73">
        <f t="shared" si="117"/>
        <v>5.72</v>
      </c>
      <c r="AK150" s="71">
        <f t="shared" si="106"/>
        <v>12.637716355258801</v>
      </c>
      <c r="AL150" s="71">
        <f t="shared" si="107"/>
        <v>0.63884749870390323</v>
      </c>
      <c r="AM150" s="71">
        <f t="shared" si="118"/>
        <v>0</v>
      </c>
      <c r="AN150" s="188">
        <f t="shared" si="108"/>
        <v>0.36879327102803733</v>
      </c>
      <c r="AO150" s="74">
        <f t="shared" si="119"/>
        <v>1.0076407697319405</v>
      </c>
      <c r="AP150" s="73">
        <f t="shared" si="109"/>
        <v>1.1651707220679146</v>
      </c>
      <c r="AQ150" s="206">
        <f t="shared" si="110"/>
        <v>1.7865951071708022</v>
      </c>
      <c r="AR150" s="206">
        <f t="shared" si="111"/>
        <v>3.0218089420955812</v>
      </c>
      <c r="AS150" s="71">
        <f t="shared" si="112"/>
        <v>0.12000000000000001</v>
      </c>
      <c r="AT150" s="74">
        <f t="shared" si="113"/>
        <v>3.6299999999999995E-5</v>
      </c>
      <c r="AU150" s="73">
        <f t="shared" si="120"/>
        <v>21.026975821312867</v>
      </c>
      <c r="AV150" s="71">
        <f t="shared" si="121"/>
        <v>306.02</v>
      </c>
      <c r="AW150" s="74">
        <f t="shared" si="122"/>
        <v>93.570655784690302</v>
      </c>
    </row>
    <row r="151" spans="17:49" x14ac:dyDescent="0.25">
      <c r="Q151">
        <v>144</v>
      </c>
      <c r="R151" s="73">
        <f t="shared" si="96"/>
        <v>53.5</v>
      </c>
      <c r="S151" s="71">
        <f t="shared" si="97"/>
        <v>5.76</v>
      </c>
      <c r="T151" s="71">
        <f t="shared" si="98"/>
        <v>11</v>
      </c>
      <c r="U151" s="74">
        <f t="shared" si="99"/>
        <v>28.014545454545452</v>
      </c>
      <c r="V151" s="73">
        <f>IF(Variable_Management!$B$20=3,2,IF((S151*R151/T151)&lt;((T151*(1-(T151/R151)))/(2*Lm*Fsw)),1,2))</f>
        <v>2</v>
      </c>
      <c r="W151" s="71">
        <f t="shared" si="100"/>
        <v>0.79439252336448596</v>
      </c>
      <c r="X151" s="74">
        <f t="shared" si="101"/>
        <v>0.20560747663551404</v>
      </c>
      <c r="Y151" s="73">
        <f t="shared" si="102"/>
        <v>5.8255451713395638</v>
      </c>
      <c r="Z151" s="71">
        <f t="shared" si="124"/>
        <v>30.927318040215233</v>
      </c>
      <c r="AA151" s="71">
        <f t="shared" si="125"/>
        <v>28.064975296682572</v>
      </c>
      <c r="AB151" s="71">
        <v>0</v>
      </c>
      <c r="AC151" s="71">
        <f t="shared" si="103"/>
        <v>1.811578528327827</v>
      </c>
      <c r="AD151" s="74">
        <f t="shared" si="114"/>
        <v>1.811578528327827</v>
      </c>
      <c r="AE151" s="73">
        <f t="shared" si="123"/>
        <v>22.25454545454545</v>
      </c>
      <c r="AF151" s="71">
        <f t="shared" si="115"/>
        <v>25.013947747391761</v>
      </c>
      <c r="AG151" s="71">
        <f t="shared" si="104"/>
        <v>2.5027903276369816</v>
      </c>
      <c r="AH151" s="71">
        <f t="shared" si="105"/>
        <v>9.7384827990363743</v>
      </c>
      <c r="AI151" s="74">
        <f t="shared" si="116"/>
        <v>12.241273126673356</v>
      </c>
      <c r="AJ151" s="73">
        <f t="shared" si="117"/>
        <v>5.76</v>
      </c>
      <c r="AK151" s="71">
        <f t="shared" si="106"/>
        <v>12.725771351637496</v>
      </c>
      <c r="AL151" s="71">
        <f t="shared" si="107"/>
        <v>0.64778102597663056</v>
      </c>
      <c r="AM151" s="71">
        <f t="shared" si="118"/>
        <v>0</v>
      </c>
      <c r="AN151" s="188">
        <f t="shared" si="108"/>
        <v>0.37112781648258281</v>
      </c>
      <c r="AO151" s="74">
        <f t="shared" si="119"/>
        <v>1.0189088424592134</v>
      </c>
      <c r="AP151" s="73">
        <f t="shared" si="109"/>
        <v>1.1814642576051047</v>
      </c>
      <c r="AQ151" s="206">
        <f t="shared" si="110"/>
        <v>1.811578528327827</v>
      </c>
      <c r="AR151" s="206">
        <f t="shared" si="111"/>
        <v>3.0218089420955812</v>
      </c>
      <c r="AS151" s="71">
        <f t="shared" si="112"/>
        <v>0.12000000000000001</v>
      </c>
      <c r="AT151" s="74">
        <f t="shared" si="113"/>
        <v>3.6299999999999995E-5</v>
      </c>
      <c r="AU151" s="73">
        <f t="shared" si="120"/>
        <v>21.206648525488916</v>
      </c>
      <c r="AV151" s="71">
        <f t="shared" si="121"/>
        <v>308.15999999999997</v>
      </c>
      <c r="AW151" s="74">
        <f t="shared" si="122"/>
        <v>93.561385580347306</v>
      </c>
    </row>
    <row r="152" spans="17:49" x14ac:dyDescent="0.25">
      <c r="Q152">
        <v>145</v>
      </c>
      <c r="R152" s="73">
        <f t="shared" si="96"/>
        <v>53.5</v>
      </c>
      <c r="S152" s="71">
        <f t="shared" si="97"/>
        <v>5.8</v>
      </c>
      <c r="T152" s="71">
        <f t="shared" si="98"/>
        <v>11</v>
      </c>
      <c r="U152" s="74">
        <f t="shared" si="99"/>
        <v>28.209090909090911</v>
      </c>
      <c r="V152" s="73">
        <f>IF(Variable_Management!$B$20=3,2,IF((S152*R152/T152)&lt;((T152*(1-(T152/R152)))/(2*Lm*Fsw)),1,2))</f>
        <v>2</v>
      </c>
      <c r="W152" s="71">
        <f t="shared" si="100"/>
        <v>0.79439252336448596</v>
      </c>
      <c r="X152" s="74">
        <f t="shared" si="101"/>
        <v>0.20560747663551404</v>
      </c>
      <c r="Y152" s="73">
        <f t="shared" si="102"/>
        <v>5.8255451713395638</v>
      </c>
      <c r="Z152" s="71">
        <f t="shared" si="124"/>
        <v>31.121863494760692</v>
      </c>
      <c r="AA152" s="71">
        <f t="shared" si="125"/>
        <v>28.259173577724546</v>
      </c>
      <c r="AB152" s="71">
        <v>0</v>
      </c>
      <c r="AC152" s="71">
        <f t="shared" si="103"/>
        <v>1.8367360499807197</v>
      </c>
      <c r="AD152" s="74">
        <f t="shared" si="114"/>
        <v>1.8367360499807197</v>
      </c>
      <c r="AE152" s="73">
        <f t="shared" si="123"/>
        <v>22.40909090909091</v>
      </c>
      <c r="AF152" s="71">
        <f t="shared" si="115"/>
        <v>25.187034151468925</v>
      </c>
      <c r="AG152" s="71">
        <f t="shared" si="104"/>
        <v>2.5375467573890478</v>
      </c>
      <c r="AH152" s="71">
        <f t="shared" si="105"/>
        <v>9.8061111518074604</v>
      </c>
      <c r="AI152" s="74">
        <f t="shared" si="116"/>
        <v>12.343657909196509</v>
      </c>
      <c r="AJ152" s="73">
        <f t="shared" si="117"/>
        <v>5.8000000000000007</v>
      </c>
      <c r="AK152" s="71">
        <f t="shared" si="106"/>
        <v>12.813828543753155</v>
      </c>
      <c r="AL152" s="71">
        <f t="shared" si="107"/>
        <v>0.65677680779481251</v>
      </c>
      <c r="AM152" s="71">
        <f t="shared" si="118"/>
        <v>0</v>
      </c>
      <c r="AN152" s="188">
        <f t="shared" si="108"/>
        <v>0.37346236193712834</v>
      </c>
      <c r="AO152" s="74">
        <f t="shared" si="119"/>
        <v>1.0302391697319409</v>
      </c>
      <c r="AP152" s="73">
        <f t="shared" si="109"/>
        <v>1.1978713369439478</v>
      </c>
      <c r="AQ152" s="206">
        <f t="shared" si="110"/>
        <v>1.8367360499807197</v>
      </c>
      <c r="AR152" s="206">
        <f t="shared" si="111"/>
        <v>3.0218089420955812</v>
      </c>
      <c r="AS152" s="71">
        <f t="shared" si="112"/>
        <v>0.12000000000000001</v>
      </c>
      <c r="AT152" s="74">
        <f t="shared" si="113"/>
        <v>3.6299999999999995E-5</v>
      </c>
      <c r="AU152" s="73">
        <f t="shared" si="120"/>
        <v>21.38708575792942</v>
      </c>
      <c r="AV152" s="71">
        <f t="shared" si="121"/>
        <v>310.3</v>
      </c>
      <c r="AW152" s="74">
        <f t="shared" si="122"/>
        <v>93.552029404745028</v>
      </c>
    </row>
    <row r="153" spans="17:49" x14ac:dyDescent="0.25">
      <c r="Q153">
        <v>146</v>
      </c>
      <c r="R153" s="73">
        <f t="shared" si="96"/>
        <v>53.5</v>
      </c>
      <c r="S153" s="71">
        <f t="shared" si="97"/>
        <v>5.84</v>
      </c>
      <c r="T153" s="71">
        <f t="shared" si="98"/>
        <v>11</v>
      </c>
      <c r="U153" s="74">
        <f t="shared" si="99"/>
        <v>28.403636363636362</v>
      </c>
      <c r="V153" s="73">
        <f>IF(Variable_Management!$B$20=3,2,IF((S153*R153/T153)&lt;((T153*(1-(T153/R153)))/(2*Lm*Fsw)),1,2))</f>
        <v>2</v>
      </c>
      <c r="W153" s="71">
        <f t="shared" si="100"/>
        <v>0.79439252336448596</v>
      </c>
      <c r="X153" s="74">
        <f t="shared" si="101"/>
        <v>0.20560747663551404</v>
      </c>
      <c r="Y153" s="73">
        <f t="shared" si="102"/>
        <v>5.8255451713395638</v>
      </c>
      <c r="Z153" s="71">
        <f t="shared" si="124"/>
        <v>31.316408949306144</v>
      </c>
      <c r="AA153" s="71">
        <f t="shared" si="125"/>
        <v>28.453376602018533</v>
      </c>
      <c r="AB153" s="71">
        <v>0</v>
      </c>
      <c r="AC153" s="71">
        <f t="shared" si="103"/>
        <v>1.86206767212948</v>
      </c>
      <c r="AD153" s="74">
        <f t="shared" si="114"/>
        <v>1.86206767212948</v>
      </c>
      <c r="AE153" s="73">
        <f t="shared" si="123"/>
        <v>22.563636363636363</v>
      </c>
      <c r="AF153" s="71">
        <f t="shared" si="115"/>
        <v>25.360124783144965</v>
      </c>
      <c r="AG153" s="71">
        <f t="shared" si="104"/>
        <v>2.5725437160667339</v>
      </c>
      <c r="AH153" s="71">
        <f t="shared" si="105"/>
        <v>9.8737395045785448</v>
      </c>
      <c r="AI153" s="74">
        <f t="shared" si="116"/>
        <v>12.446283220645279</v>
      </c>
      <c r="AJ153" s="73">
        <f t="shared" si="117"/>
        <v>5.8400000000000007</v>
      </c>
      <c r="AK153" s="71">
        <f t="shared" si="106"/>
        <v>12.90188788664714</v>
      </c>
      <c r="AL153" s="71">
        <f t="shared" si="107"/>
        <v>0.66583484415844885</v>
      </c>
      <c r="AM153" s="71">
        <f t="shared" si="118"/>
        <v>0</v>
      </c>
      <c r="AN153" s="188">
        <f t="shared" si="108"/>
        <v>0.37579690739167376</v>
      </c>
      <c r="AO153" s="74">
        <f t="shared" si="119"/>
        <v>1.0416317515501226</v>
      </c>
      <c r="AP153" s="73">
        <f t="shared" si="109"/>
        <v>1.2143919600844435</v>
      </c>
      <c r="AQ153" s="206">
        <f t="shared" si="110"/>
        <v>1.86206767212948</v>
      </c>
      <c r="AR153" s="206">
        <f t="shared" si="111"/>
        <v>3.0218089420955812</v>
      </c>
      <c r="AS153" s="71">
        <f t="shared" si="112"/>
        <v>0.12000000000000001</v>
      </c>
      <c r="AT153" s="74">
        <f t="shared" si="113"/>
        <v>3.6299999999999995E-5</v>
      </c>
      <c r="AU153" s="73">
        <f t="shared" si="120"/>
        <v>21.568287518634392</v>
      </c>
      <c r="AV153" s="71">
        <f t="shared" si="121"/>
        <v>312.44</v>
      </c>
      <c r="AW153" s="74">
        <f t="shared" si="122"/>
        <v>93.542589113920982</v>
      </c>
    </row>
    <row r="154" spans="17:49" x14ac:dyDescent="0.25">
      <c r="Q154">
        <v>147</v>
      </c>
      <c r="R154" s="73">
        <f t="shared" si="96"/>
        <v>53.5</v>
      </c>
      <c r="S154" s="71">
        <f t="shared" si="97"/>
        <v>5.88</v>
      </c>
      <c r="T154" s="71">
        <f t="shared" si="98"/>
        <v>11</v>
      </c>
      <c r="U154" s="74">
        <f t="shared" si="99"/>
        <v>28.598181818181818</v>
      </c>
      <c r="V154" s="73">
        <f>IF(Variable_Management!$B$20=3,2,IF((S154*R154/T154)&lt;((T154*(1-(T154/R154)))/(2*Lm*Fsw)),1,2))</f>
        <v>2</v>
      </c>
      <c r="W154" s="71">
        <f t="shared" si="100"/>
        <v>0.79439252336448596</v>
      </c>
      <c r="X154" s="74">
        <f t="shared" si="101"/>
        <v>0.20560747663551404</v>
      </c>
      <c r="Y154" s="73">
        <f t="shared" si="102"/>
        <v>5.8255451713395638</v>
      </c>
      <c r="Z154" s="71">
        <f t="shared" si="124"/>
        <v>31.510954403851599</v>
      </c>
      <c r="AA154" s="71">
        <f t="shared" si="125"/>
        <v>28.647584273100495</v>
      </c>
      <c r="AB154" s="71">
        <v>0</v>
      </c>
      <c r="AC154" s="71">
        <f t="shared" si="103"/>
        <v>1.8875733947741082</v>
      </c>
      <c r="AD154" s="74">
        <f t="shared" si="114"/>
        <v>1.8875733947741082</v>
      </c>
      <c r="AE154" s="73">
        <f t="shared" si="123"/>
        <v>22.718181818181819</v>
      </c>
      <c r="AF154" s="71">
        <f t="shared" si="115"/>
        <v>25.533219556442738</v>
      </c>
      <c r="AG154" s="71">
        <f t="shared" si="104"/>
        <v>2.6077812036700396</v>
      </c>
      <c r="AH154" s="71">
        <f t="shared" si="105"/>
        <v>9.9413678573496327</v>
      </c>
      <c r="AI154" s="74">
        <f t="shared" si="116"/>
        <v>12.549149061019673</v>
      </c>
      <c r="AJ154" s="73">
        <f t="shared" si="117"/>
        <v>5.8800000000000008</v>
      </c>
      <c r="AK154" s="71">
        <f t="shared" si="106"/>
        <v>12.989949336578835</v>
      </c>
      <c r="AL154" s="71">
        <f t="shared" si="107"/>
        <v>0.67495513506753968</v>
      </c>
      <c r="AM154" s="71">
        <f t="shared" si="118"/>
        <v>0</v>
      </c>
      <c r="AN154" s="188">
        <f t="shared" si="108"/>
        <v>0.37813145284621918</v>
      </c>
      <c r="AO154" s="74">
        <f t="shared" si="119"/>
        <v>1.053086587913759</v>
      </c>
      <c r="AP154" s="73">
        <f t="shared" si="109"/>
        <v>1.2310261270265923</v>
      </c>
      <c r="AQ154" s="206">
        <f t="shared" si="110"/>
        <v>1.8875733947741082</v>
      </c>
      <c r="AR154" s="206">
        <f t="shared" si="111"/>
        <v>3.0218089420955812</v>
      </c>
      <c r="AS154" s="71">
        <f t="shared" si="112"/>
        <v>0.12000000000000001</v>
      </c>
      <c r="AT154" s="74">
        <f t="shared" si="113"/>
        <v>3.6299999999999995E-5</v>
      </c>
      <c r="AU154" s="73">
        <f t="shared" si="120"/>
        <v>21.750253807603826</v>
      </c>
      <c r="AV154" s="71">
        <f t="shared" si="121"/>
        <v>314.58</v>
      </c>
      <c r="AW154" s="74">
        <f t="shared" si="122"/>
        <v>93.533066513830192</v>
      </c>
    </row>
    <row r="155" spans="17:49" x14ac:dyDescent="0.25">
      <c r="Q155">
        <v>148</v>
      </c>
      <c r="R155" s="73">
        <f t="shared" si="96"/>
        <v>53.5</v>
      </c>
      <c r="S155" s="71">
        <f t="shared" si="97"/>
        <v>5.92</v>
      </c>
      <c r="T155" s="71">
        <f t="shared" si="98"/>
        <v>11</v>
      </c>
      <c r="U155" s="74">
        <f t="shared" si="99"/>
        <v>28.792727272727269</v>
      </c>
      <c r="V155" s="73">
        <f>IF(Variable_Management!$B$20=3,2,IF((S155*R155/T155)&lt;((T155*(1-(T155/R155)))/(2*Lm*Fsw)),1,2))</f>
        <v>2</v>
      </c>
      <c r="W155" s="71">
        <f t="shared" si="100"/>
        <v>0.79439252336448596</v>
      </c>
      <c r="X155" s="74">
        <f t="shared" si="101"/>
        <v>0.20560747663551404</v>
      </c>
      <c r="Y155" s="73">
        <f t="shared" si="102"/>
        <v>5.8255451713395638</v>
      </c>
      <c r="Z155" s="71">
        <f t="shared" si="124"/>
        <v>31.705499858397051</v>
      </c>
      <c r="AA155" s="71">
        <f t="shared" si="125"/>
        <v>28.841796497102301</v>
      </c>
      <c r="AB155" s="71">
        <v>0</v>
      </c>
      <c r="AC155" s="71">
        <f t="shared" si="103"/>
        <v>1.913253217914604</v>
      </c>
      <c r="AD155" s="74">
        <f t="shared" si="114"/>
        <v>1.913253217914604</v>
      </c>
      <c r="AE155" s="73">
        <f t="shared" si="123"/>
        <v>22.872727272727268</v>
      </c>
      <c r="AF155" s="71">
        <f t="shared" si="115"/>
        <v>25.706318387698794</v>
      </c>
      <c r="AG155" s="71">
        <f t="shared" si="104"/>
        <v>2.6432592201989649</v>
      </c>
      <c r="AH155" s="71">
        <f t="shared" si="105"/>
        <v>10.008996210120717</v>
      </c>
      <c r="AI155" s="74">
        <f t="shared" si="116"/>
        <v>12.652255430319682</v>
      </c>
      <c r="AJ155" s="73">
        <f t="shared" si="117"/>
        <v>5.92</v>
      </c>
      <c r="AK155" s="71">
        <f t="shared" si="106"/>
        <v>13.078012850984713</v>
      </c>
      <c r="AL155" s="71">
        <f t="shared" si="107"/>
        <v>0.68413768052208523</v>
      </c>
      <c r="AM155" s="71">
        <f t="shared" si="118"/>
        <v>0</v>
      </c>
      <c r="AN155" s="188">
        <f t="shared" si="108"/>
        <v>0.38046599830076461</v>
      </c>
      <c r="AO155" s="74">
        <f t="shared" si="119"/>
        <v>1.0646036788228499</v>
      </c>
      <c r="AP155" s="73">
        <f t="shared" si="109"/>
        <v>1.247773837770394</v>
      </c>
      <c r="AQ155" s="206">
        <f t="shared" si="110"/>
        <v>1.913253217914604</v>
      </c>
      <c r="AR155" s="206">
        <f t="shared" si="111"/>
        <v>3.0218089420955812</v>
      </c>
      <c r="AS155" s="71">
        <f t="shared" si="112"/>
        <v>0.12000000000000001</v>
      </c>
      <c r="AT155" s="74">
        <f t="shared" si="113"/>
        <v>3.6299999999999995E-5</v>
      </c>
      <c r="AU155" s="73">
        <f t="shared" si="120"/>
        <v>21.932984624837719</v>
      </c>
      <c r="AV155" s="71">
        <f t="shared" si="121"/>
        <v>316.71999999999997</v>
      </c>
      <c r="AW155" s="74">
        <f t="shared" si="122"/>
        <v>93.523463362020792</v>
      </c>
    </row>
    <row r="156" spans="17:49" x14ac:dyDescent="0.25">
      <c r="Q156">
        <v>149</v>
      </c>
      <c r="R156" s="73">
        <f t="shared" si="96"/>
        <v>53.5</v>
      </c>
      <c r="S156" s="71">
        <f t="shared" si="97"/>
        <v>5.96</v>
      </c>
      <c r="T156" s="71">
        <f t="shared" si="98"/>
        <v>11</v>
      </c>
      <c r="U156" s="74">
        <f t="shared" si="99"/>
        <v>28.987272727272728</v>
      </c>
      <c r="V156" s="73">
        <f>IF(Variable_Management!$B$20=3,2,IF((S156*R156/T156)&lt;((T156*(1-(T156/R156)))/(2*Lm*Fsw)),1,2))</f>
        <v>2</v>
      </c>
      <c r="W156" s="71">
        <f t="shared" si="100"/>
        <v>0.79439252336448596</v>
      </c>
      <c r="X156" s="74">
        <f t="shared" si="101"/>
        <v>0.20560747663551404</v>
      </c>
      <c r="Y156" s="73">
        <f t="shared" si="102"/>
        <v>5.8255451713395638</v>
      </c>
      <c r="Z156" s="71">
        <f t="shared" si="124"/>
        <v>31.90004531294251</v>
      </c>
      <c r="AA156" s="71">
        <f t="shared" si="125"/>
        <v>29.036013182665059</v>
      </c>
      <c r="AB156" s="71">
        <v>0</v>
      </c>
      <c r="AC156" s="71">
        <f t="shared" si="103"/>
        <v>1.9391071415509678</v>
      </c>
      <c r="AD156" s="74">
        <f t="shared" si="114"/>
        <v>1.9391071415509678</v>
      </c>
      <c r="AE156" s="73">
        <f t="shared" si="123"/>
        <v>23.027272727272727</v>
      </c>
      <c r="AF156" s="71">
        <f t="shared" si="115"/>
        <v>25.879421195486149</v>
      </c>
      <c r="AG156" s="71">
        <f t="shared" si="104"/>
        <v>2.678977765653511</v>
      </c>
      <c r="AH156" s="71">
        <f t="shared" si="105"/>
        <v>10.076624562891803</v>
      </c>
      <c r="AI156" s="74">
        <f t="shared" si="116"/>
        <v>12.755602328545315</v>
      </c>
      <c r="AJ156" s="73">
        <f t="shared" si="117"/>
        <v>5.9600000000000009</v>
      </c>
      <c r="AK156" s="71">
        <f t="shared" si="106"/>
        <v>13.166078388439031</v>
      </c>
      <c r="AL156" s="71">
        <f t="shared" si="107"/>
        <v>0.69338248052208518</v>
      </c>
      <c r="AM156" s="71">
        <f t="shared" si="118"/>
        <v>0</v>
      </c>
      <c r="AN156" s="188">
        <f t="shared" si="108"/>
        <v>0.38280054375531014</v>
      </c>
      <c r="AO156" s="74">
        <f t="shared" si="119"/>
        <v>1.0761830242773953</v>
      </c>
      <c r="AP156" s="73">
        <f t="shared" si="109"/>
        <v>1.2646350923158487</v>
      </c>
      <c r="AQ156" s="206">
        <f t="shared" si="110"/>
        <v>1.9391071415509678</v>
      </c>
      <c r="AR156" s="206">
        <f t="shared" si="111"/>
        <v>3.0218089420955812</v>
      </c>
      <c r="AS156" s="71">
        <f t="shared" si="112"/>
        <v>0.12000000000000001</v>
      </c>
      <c r="AT156" s="74">
        <f t="shared" si="113"/>
        <v>3.6299999999999995E-5</v>
      </c>
      <c r="AU156" s="73">
        <f t="shared" si="120"/>
        <v>22.116479970336076</v>
      </c>
      <c r="AV156" s="71">
        <f t="shared" si="121"/>
        <v>318.86</v>
      </c>
      <c r="AW156" s="74">
        <f t="shared" si="122"/>
        <v>93.513781369242793</v>
      </c>
    </row>
    <row r="157" spans="17:49" ht="15.75" thickBot="1" x14ac:dyDescent="0.3">
      <c r="Q157">
        <v>150</v>
      </c>
      <c r="R157" s="75">
        <f t="shared" si="96"/>
        <v>53.5</v>
      </c>
      <c r="S157" s="76">
        <f t="shared" si="97"/>
        <v>6</v>
      </c>
      <c r="T157" s="76">
        <f t="shared" si="98"/>
        <v>11</v>
      </c>
      <c r="U157" s="77">
        <f t="shared" si="99"/>
        <v>29.181818181818183</v>
      </c>
      <c r="V157" s="73">
        <f>IF(Variable_Management!$B$20=3,2,IF((S157*R157/T157)&lt;((T157*(1-(T157/R157)))/(2*Lm*Fsw)),1,2))</f>
        <v>2</v>
      </c>
      <c r="W157" s="76">
        <f t="shared" si="100"/>
        <v>0.79439252336448596</v>
      </c>
      <c r="X157" s="74">
        <f t="shared" si="101"/>
        <v>0.20560747663551404</v>
      </c>
      <c r="Y157" s="75">
        <f t="shared" si="102"/>
        <v>5.8255451713395638</v>
      </c>
      <c r="Z157" s="76">
        <f t="shared" si="124"/>
        <v>32.094590767487965</v>
      </c>
      <c r="AA157" s="76">
        <f t="shared" si="125"/>
        <v>29.230234240855889</v>
      </c>
      <c r="AB157" s="76">
        <v>0</v>
      </c>
      <c r="AC157" s="76">
        <f t="shared" si="103"/>
        <v>1.9651351656831992</v>
      </c>
      <c r="AD157" s="77">
        <f t="shared" si="114"/>
        <v>1.9651351656831992</v>
      </c>
      <c r="AE157" s="75">
        <f t="shared" si="123"/>
        <v>23.181818181818183</v>
      </c>
      <c r="AF157" s="71">
        <f t="shared" si="115"/>
        <v>26.052527900540074</v>
      </c>
      <c r="AG157" s="76">
        <f t="shared" si="104"/>
        <v>2.7149368400336762</v>
      </c>
      <c r="AH157" s="76">
        <f t="shared" si="105"/>
        <v>10.144252915662889</v>
      </c>
      <c r="AI157" s="77">
        <f t="shared" si="116"/>
        <v>12.859189755696566</v>
      </c>
      <c r="AJ157" s="75">
        <f>X157*U157</f>
        <v>6.0000000000000009</v>
      </c>
      <c r="AK157" s="76">
        <f t="shared" si="106"/>
        <v>13.254145908616103</v>
      </c>
      <c r="AL157" s="71">
        <f t="shared" si="107"/>
        <v>0.70268953506753984</v>
      </c>
      <c r="AM157" s="71">
        <f t="shared" si="118"/>
        <v>0</v>
      </c>
      <c r="AN157" s="188">
        <f>Vd_rect*t_dead*Fsw*Z157</f>
        <v>0.38513508920985556</v>
      </c>
      <c r="AO157" s="74">
        <f t="shared" si="119"/>
        <v>1.0878246242773955</v>
      </c>
      <c r="AP157" s="73">
        <f t="shared" si="109"/>
        <v>1.2816098906629561</v>
      </c>
      <c r="AQ157" s="206">
        <f t="shared" si="110"/>
        <v>1.9651351656831992</v>
      </c>
      <c r="AR157" s="206">
        <f t="shared" si="111"/>
        <v>3.0218089420955812</v>
      </c>
      <c r="AS157" s="71">
        <f t="shared" si="112"/>
        <v>0.12000000000000001</v>
      </c>
      <c r="AT157" s="77">
        <f t="shared" si="113"/>
        <v>3.6299999999999995E-5</v>
      </c>
      <c r="AU157" s="73">
        <f t="shared" si="120"/>
        <v>22.300739844098903</v>
      </c>
      <c r="AV157" s="76">
        <f t="shared" si="121"/>
        <v>321</v>
      </c>
      <c r="AW157" s="77">
        <f>(AV157/(AV157+AU157))*100</f>
        <v>93.504022200993148</v>
      </c>
    </row>
  </sheetData>
  <mergeCells count="7">
    <mergeCell ref="AP5:AT5"/>
    <mergeCell ref="A1:M1"/>
    <mergeCell ref="R5:U5"/>
    <mergeCell ref="V5:X5"/>
    <mergeCell ref="Y5:AD5"/>
    <mergeCell ref="AE5:AI5"/>
    <mergeCell ref="AJ5:AO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topLeftCell="A13" zoomScale="85" zoomScaleNormal="85" workbookViewId="0">
      <selection activeCell="B42" sqref="B42"/>
    </sheetView>
  </sheetViews>
  <sheetFormatPr baseColWidth="10" defaultColWidth="9.140625" defaultRowHeight="15" x14ac:dyDescent="0.25"/>
  <cols>
    <col min="1" max="1" width="18.7109375" customWidth="1"/>
    <col min="2" max="2" width="25" customWidth="1"/>
    <col min="8" max="9" width="8.85546875"/>
    <col min="10" max="10" width="12.7109375" bestFit="1" customWidth="1"/>
    <col min="14" max="14" width="17.85546875" customWidth="1"/>
    <col min="15" max="15" width="16.5703125" style="34" bestFit="1" customWidth="1"/>
    <col min="16" max="16" width="16.5703125" customWidth="1"/>
    <col min="29" max="29" width="8.85546875"/>
    <col min="32" max="37" width="8.7109375"/>
    <col min="38" max="38" width="11.42578125" bestFit="1" customWidth="1"/>
    <col min="39" max="40" width="8.7109375"/>
    <col min="41" max="41" width="13.140625" bestFit="1" customWidth="1"/>
    <col min="42" max="44" width="8.7109375"/>
    <col min="46" max="46" width="10.140625" customWidth="1"/>
    <col min="47" max="47" width="12" bestFit="1" customWidth="1"/>
    <col min="55" max="55" width="8.85546875"/>
    <col min="58" max="58" width="8.85546875"/>
  </cols>
  <sheetData>
    <row r="1" spans="1:65" ht="27.75" x14ac:dyDescent="0.4">
      <c r="A1" s="213" t="s">
        <v>15</v>
      </c>
      <c r="B1" s="213"/>
      <c r="C1" s="213"/>
      <c r="D1" s="213"/>
      <c r="E1" s="213"/>
      <c r="F1" s="213"/>
      <c r="G1" s="213"/>
      <c r="H1" s="213"/>
      <c r="I1" s="213"/>
      <c r="J1" s="213"/>
      <c r="K1" s="213"/>
      <c r="L1" s="213"/>
      <c r="M1" s="213"/>
      <c r="N1" s="213" t="s">
        <v>194</v>
      </c>
      <c r="O1" s="213"/>
      <c r="P1" s="213"/>
      <c r="Q1" s="213"/>
      <c r="R1" s="213"/>
      <c r="S1" s="213"/>
      <c r="T1" s="213"/>
      <c r="U1" s="213"/>
      <c r="V1" s="213"/>
      <c r="W1" s="213"/>
      <c r="X1" s="213"/>
    </row>
    <row r="2" spans="1:65" x14ac:dyDescent="0.25">
      <c r="A2" s="5"/>
      <c r="B2" s="5" t="s">
        <v>16</v>
      </c>
      <c r="C2" s="6"/>
      <c r="D2" s="4"/>
      <c r="E2" s="5"/>
      <c r="F2" s="5"/>
      <c r="G2" s="5"/>
      <c r="H2" s="5"/>
      <c r="I2" s="5"/>
      <c r="J2" s="5"/>
      <c r="K2" s="5"/>
      <c r="L2" s="5"/>
      <c r="M2" s="5"/>
      <c r="O2"/>
    </row>
    <row r="3" spans="1:65" ht="15.75" thickBot="1" x14ac:dyDescent="0.3">
      <c r="A3" s="5"/>
      <c r="B3" s="5" t="s">
        <v>17</v>
      </c>
      <c r="C3" s="7"/>
      <c r="D3" s="4"/>
      <c r="E3" s="5"/>
      <c r="F3" s="14"/>
      <c r="G3" s="15"/>
      <c r="H3" s="15"/>
      <c r="I3" s="15"/>
      <c r="J3" s="15"/>
      <c r="K3" s="24"/>
      <c r="L3" s="5"/>
      <c r="M3" s="5"/>
      <c r="O3" t="s">
        <v>481</v>
      </c>
    </row>
    <row r="4" spans="1:65" ht="15.75" thickBot="1" x14ac:dyDescent="0.3">
      <c r="A4" s="5"/>
      <c r="B4" s="5" t="s">
        <v>18</v>
      </c>
      <c r="C4" s="8"/>
      <c r="D4" s="4"/>
      <c r="E4" s="5"/>
      <c r="F4" s="14"/>
      <c r="G4" s="15"/>
      <c r="H4" s="15"/>
      <c r="I4" s="15"/>
      <c r="J4" s="15"/>
      <c r="K4" s="24"/>
      <c r="L4" s="5"/>
      <c r="M4" s="5"/>
      <c r="N4" s="177"/>
      <c r="O4" s="67"/>
      <c r="P4" s="224" t="s">
        <v>454</v>
      </c>
      <c r="Q4" s="224"/>
      <c r="R4" s="224"/>
      <c r="S4" s="224"/>
      <c r="T4" s="224"/>
      <c r="U4" s="224"/>
      <c r="V4" s="224"/>
      <c r="W4" s="224"/>
      <c r="X4" s="224"/>
      <c r="Y4" s="224"/>
      <c r="Z4" s="224"/>
      <c r="AA4" s="224"/>
      <c r="AB4" s="224"/>
      <c r="AC4" s="224"/>
      <c r="AD4" s="224"/>
      <c r="AE4" s="225"/>
      <c r="AF4" s="223" t="s">
        <v>571</v>
      </c>
      <c r="AG4" s="224"/>
      <c r="AH4" s="224"/>
      <c r="AI4" s="224"/>
      <c r="AJ4" s="224"/>
      <c r="AK4" s="224"/>
      <c r="AL4" s="224"/>
      <c r="AM4" s="224"/>
      <c r="AN4" s="224"/>
      <c r="AO4" s="224"/>
      <c r="AP4" s="224"/>
      <c r="AQ4" s="224"/>
      <c r="AR4" s="225"/>
      <c r="AS4" s="223" t="s">
        <v>225</v>
      </c>
      <c r="AT4" s="224"/>
      <c r="AU4" s="224"/>
      <c r="AV4" s="224"/>
      <c r="AW4" s="224"/>
      <c r="AX4" s="224"/>
      <c r="AY4" s="224"/>
      <c r="AZ4" s="224"/>
      <c r="BA4" s="224"/>
      <c r="BB4" s="224"/>
      <c r="BC4" s="224"/>
      <c r="BD4" s="224"/>
      <c r="BE4" s="225"/>
      <c r="BF4" s="223" t="s">
        <v>484</v>
      </c>
      <c r="BG4" s="224"/>
      <c r="BH4" s="225"/>
      <c r="BI4" s="223" t="s">
        <v>485</v>
      </c>
      <c r="BJ4" s="224"/>
      <c r="BK4" s="225"/>
      <c r="BL4" s="233" t="s">
        <v>486</v>
      </c>
      <c r="BM4" s="234"/>
    </row>
    <row r="5" spans="1:65" ht="15.75" thickBot="1" x14ac:dyDescent="0.3">
      <c r="A5" s="5"/>
      <c r="D5" s="4"/>
      <c r="E5" s="5"/>
      <c r="F5" s="5"/>
      <c r="G5" s="5"/>
      <c r="H5" s="5"/>
      <c r="I5" s="5"/>
      <c r="J5" s="5"/>
      <c r="K5" s="5"/>
      <c r="L5" s="5"/>
      <c r="M5" s="5"/>
      <c r="N5" s="178"/>
      <c r="O5" s="43"/>
      <c r="Q5" s="229" t="s">
        <v>217</v>
      </c>
      <c r="R5" s="229"/>
      <c r="S5" s="229"/>
      <c r="T5" s="227" t="s">
        <v>219</v>
      </c>
      <c r="U5" s="227"/>
      <c r="V5" s="227"/>
      <c r="W5" s="227" t="s">
        <v>219</v>
      </c>
      <c r="X5" s="227"/>
      <c r="Y5" s="227"/>
      <c r="Z5" s="227" t="s">
        <v>222</v>
      </c>
      <c r="AA5" s="227"/>
      <c r="AB5" s="227"/>
      <c r="AC5" s="226" t="s">
        <v>224</v>
      </c>
      <c r="AD5" s="227"/>
      <c r="AE5" s="228"/>
      <c r="AF5" s="153"/>
      <c r="AG5" s="229" t="s">
        <v>217</v>
      </c>
      <c r="AH5" s="229"/>
      <c r="AI5" s="229"/>
      <c r="AJ5" s="230" t="s">
        <v>219</v>
      </c>
      <c r="AK5" s="230"/>
      <c r="AL5" s="230"/>
      <c r="AM5" s="227" t="s">
        <v>258</v>
      </c>
      <c r="AN5" s="227"/>
      <c r="AO5" s="227"/>
      <c r="AP5" s="231" t="s">
        <v>224</v>
      </c>
      <c r="AQ5" s="230"/>
      <c r="AR5" s="232"/>
      <c r="AT5" s="227" t="s">
        <v>231</v>
      </c>
      <c r="AU5" s="227"/>
      <c r="AV5" s="227"/>
      <c r="AW5" s="227" t="s">
        <v>232</v>
      </c>
      <c r="AX5" s="227"/>
      <c r="AY5" s="227"/>
      <c r="AZ5" s="227" t="s">
        <v>226</v>
      </c>
      <c r="BA5" s="227"/>
      <c r="BB5" s="227"/>
      <c r="BC5" s="226" t="s">
        <v>224</v>
      </c>
      <c r="BD5" s="227"/>
      <c r="BE5" s="228"/>
      <c r="BF5" s="226" t="s">
        <v>224</v>
      </c>
      <c r="BG5" s="227"/>
      <c r="BH5" s="228"/>
      <c r="BI5" s="226" t="s">
        <v>224</v>
      </c>
      <c r="BJ5" s="227"/>
      <c r="BK5" s="228"/>
      <c r="BL5" s="226" t="s">
        <v>224</v>
      </c>
      <c r="BM5" s="228"/>
    </row>
    <row r="6" spans="1:65" ht="15.75" thickBot="1" x14ac:dyDescent="0.3">
      <c r="A6" s="9" t="s">
        <v>19</v>
      </c>
      <c r="B6" s="9" t="s">
        <v>20</v>
      </c>
      <c r="C6" s="9" t="s">
        <v>21</v>
      </c>
      <c r="D6" s="4"/>
      <c r="E6" s="214" t="s">
        <v>22</v>
      </c>
      <c r="F6" s="214"/>
      <c r="G6" s="214"/>
      <c r="H6" s="214"/>
      <c r="I6" s="214"/>
      <c r="J6" s="214"/>
      <c r="K6" s="214"/>
      <c r="L6" s="5"/>
      <c r="M6" s="9"/>
      <c r="N6" s="178"/>
      <c r="O6" s="43"/>
      <c r="P6" s="65" t="s">
        <v>200</v>
      </c>
      <c r="Q6" s="62" t="s">
        <v>223</v>
      </c>
      <c r="R6" s="64" t="s">
        <v>220</v>
      </c>
      <c r="S6" s="64" t="s">
        <v>221</v>
      </c>
      <c r="T6" s="64" t="s">
        <v>223</v>
      </c>
      <c r="U6" s="64" t="s">
        <v>220</v>
      </c>
      <c r="V6" s="64" t="s">
        <v>221</v>
      </c>
      <c r="W6" s="64" t="s">
        <v>223</v>
      </c>
      <c r="X6" s="64" t="s">
        <v>220</v>
      </c>
      <c r="Y6" s="64" t="s">
        <v>221</v>
      </c>
      <c r="Z6" s="64" t="s">
        <v>223</v>
      </c>
      <c r="AA6" s="64" t="s">
        <v>220</v>
      </c>
      <c r="AB6" s="64" t="s">
        <v>221</v>
      </c>
      <c r="AC6" s="65" t="s">
        <v>235</v>
      </c>
      <c r="AD6" s="64" t="s">
        <v>220</v>
      </c>
      <c r="AE6" s="181" t="s">
        <v>221</v>
      </c>
      <c r="AF6" s="182" t="s">
        <v>200</v>
      </c>
      <c r="AG6" s="183" t="s">
        <v>223</v>
      </c>
      <c r="AH6" s="183" t="s">
        <v>234</v>
      </c>
      <c r="AI6" s="183" t="s">
        <v>221</v>
      </c>
      <c r="AJ6" s="183" t="s">
        <v>223</v>
      </c>
      <c r="AK6" s="183" t="s">
        <v>234</v>
      </c>
      <c r="AL6" s="183" t="s">
        <v>221</v>
      </c>
      <c r="AM6" s="183" t="s">
        <v>223</v>
      </c>
      <c r="AN6" s="183" t="s">
        <v>234</v>
      </c>
      <c r="AO6" s="183" t="s">
        <v>221</v>
      </c>
      <c r="AP6" s="65" t="s">
        <v>235</v>
      </c>
      <c r="AQ6" s="64" t="s">
        <v>220</v>
      </c>
      <c r="AR6" s="181" t="s">
        <v>221</v>
      </c>
      <c r="AS6" s="65" t="s">
        <v>233</v>
      </c>
      <c r="AT6" s="64" t="s">
        <v>223</v>
      </c>
      <c r="AU6" s="64" t="s">
        <v>234</v>
      </c>
      <c r="AV6" s="64" t="s">
        <v>221</v>
      </c>
      <c r="AW6" s="64" t="s">
        <v>223</v>
      </c>
      <c r="AX6" s="64" t="s">
        <v>234</v>
      </c>
      <c r="AY6" s="64" t="s">
        <v>221</v>
      </c>
      <c r="AZ6" s="64" t="s">
        <v>223</v>
      </c>
      <c r="BA6" s="64" t="s">
        <v>234</v>
      </c>
      <c r="BB6" s="64" t="s">
        <v>221</v>
      </c>
      <c r="BC6" s="65" t="s">
        <v>235</v>
      </c>
      <c r="BD6" s="64" t="s">
        <v>220</v>
      </c>
      <c r="BE6" s="181" t="s">
        <v>221</v>
      </c>
      <c r="BF6" s="65" t="s">
        <v>235</v>
      </c>
      <c r="BG6" s="64" t="s">
        <v>220</v>
      </c>
      <c r="BH6" s="181" t="s">
        <v>221</v>
      </c>
      <c r="BI6" s="65" t="s">
        <v>235</v>
      </c>
      <c r="BJ6" s="64" t="s">
        <v>220</v>
      </c>
      <c r="BK6" s="181" t="s">
        <v>221</v>
      </c>
      <c r="BL6" s="65" t="s">
        <v>220</v>
      </c>
      <c r="BM6" s="181" t="s">
        <v>221</v>
      </c>
    </row>
    <row r="7" spans="1:65" ht="15.75" thickBot="1" x14ac:dyDescent="0.3">
      <c r="A7" s="9"/>
      <c r="B7" s="9"/>
      <c r="C7" s="9"/>
      <c r="D7" s="4"/>
      <c r="E7" s="5"/>
      <c r="F7" s="5"/>
      <c r="G7" s="5"/>
      <c r="H7" s="5"/>
      <c r="I7" s="5"/>
      <c r="J7" s="5"/>
      <c r="K7" s="5"/>
      <c r="L7" s="5"/>
      <c r="M7" s="9"/>
      <c r="N7" s="178" t="s">
        <v>397</v>
      </c>
      <c r="O7" s="67">
        <f>fcross</f>
        <v>10000</v>
      </c>
      <c r="P7" s="63" t="str">
        <f>COMPLEX(ADC_VINmin,0)</f>
        <v>54,631621870174</v>
      </c>
      <c r="Q7" s="64" t="str">
        <f>IMSUM(COMPLEX(1,0),IMDIV(COMPLEX(0,2*PI()*O7),COMPLEX(wp_lf_VINmin,0)))</f>
        <v>1+280,47511884841i</v>
      </c>
      <c r="R7" s="64">
        <f t="shared" ref="R7:R13" si="0">IMABS(Q7)</f>
        <v>280.47690153206861</v>
      </c>
      <c r="S7" s="64">
        <f t="shared" ref="S7:S13" si="1">IMARGUMENT(Q7)</f>
        <v>1.5672309632545232</v>
      </c>
      <c r="T7" s="64" t="str">
        <f>IMSUM(COMPLEX(1,0),IMDIV(COMPLEX(0,2*PI()*O7),COMPLEX(wz_esr_VINmin,0)))</f>
        <v>1+0,950017618445555i</v>
      </c>
      <c r="U7" s="64">
        <f t="shared" ref="U7:U13" si="2">IMABS(T7)</f>
        <v>1.3793235571674125</v>
      </c>
      <c r="V7" s="64">
        <f t="shared" ref="V7:V13" si="3">IMARGUMENT(T7)</f>
        <v>0.75977201547527407</v>
      </c>
      <c r="W7" s="62" t="str">
        <f>IMSUB(COMPLEX(1,0),IMDIV(COMPLEX(0,2*PI()*O7),COMPLEX(wz_RHP_VINmin,0)))</f>
        <v>1-0,250029233504708i</v>
      </c>
      <c r="X7" s="64">
        <f t="shared" ref="X7:X13" si="4">IMABS(W7)</f>
        <v>1.0307834969609049</v>
      </c>
      <c r="Y7" s="64">
        <f t="shared" ref="Y7:Y13" si="5">IMARGUMENT(W7)</f>
        <v>-0.24500617682438905</v>
      </c>
      <c r="Z7" s="62" t="str">
        <f>IMSUM(COMPLEX(1,0),IMDIV(COMPLEX(0,2*PI()*O7),COMPLEX(Q_VINmin*(wsl_VINmin/2),0)),IMDIV(IMPOWER(COMPLEX(0,2*PI()*O7),2),IMPOWER(COMPLEX(wsl_VINmin/2,0),2)))</f>
        <v>0,9996+0,0343519944364491i</v>
      </c>
      <c r="AA7" s="64">
        <f t="shared" ref="AA7:AA13" si="6">IMABS(Z7)</f>
        <v>1.000190091693455</v>
      </c>
      <c r="AB7" s="64">
        <f t="shared" ref="AB7:AB13" si="7">IMARGUMENT(Z7)</f>
        <v>3.4352221617146898E-2</v>
      </c>
      <c r="AC7" s="65" t="str">
        <f t="shared" ref="AC7:AC13" si="8">(IMDIV(IMPRODUCT(P7,T7,W7),IMPRODUCT(Q7,Z7)))</f>
        <v>0,128835524823147-0,245084119730838i</v>
      </c>
      <c r="AD7" s="66">
        <f t="shared" ref="AD7:AD13" si="9">20*LOG(IMABS(AC7))</f>
        <v>-11.154038898531448</v>
      </c>
      <c r="AE7" s="67">
        <f t="shared" ref="AE7:AE13" si="10">(180/PI())*IMARGUMENT(AC7)</f>
        <v>-62.270047040059353</v>
      </c>
      <c r="AF7" s="52" t="str">
        <f t="shared" ref="AF7:AF13" si="11">COMPLEX($B$72,0)</f>
        <v>171,265703090588</v>
      </c>
      <c r="AG7" s="55" t="str">
        <f t="shared" ref="AG7:AG13" si="12">IMSUM(COMPLEX(1,0),IMDIV(COMPLEX(0,2*PI()*O7),COMPLEX(wp_lf_DCM,0)))</f>
        <v>1+277,790967070547i</v>
      </c>
      <c r="AH7" s="55">
        <f>IMABS(AG7)</f>
        <v>277.79276697925337</v>
      </c>
      <c r="AI7" s="55">
        <f>IMARGUMENT(AG7)</f>
        <v>1.5671965132696792</v>
      </c>
      <c r="AJ7" s="55" t="str">
        <f t="shared" ref="AJ7:AJ13" si="13">IMSUM(COMPLEX(1,0),IMDIV(COMPLEX(0,2*PI()*O7),COMPLEX(wz1_dcm,0)))</f>
        <v>1+0,950017618445555i</v>
      </c>
      <c r="AK7" s="55">
        <f>IMABS(AJ7)</f>
        <v>1.3793235571674125</v>
      </c>
      <c r="AL7" s="55">
        <f>IMARGUMENT(AJ7)</f>
        <v>0.75977201547527407</v>
      </c>
      <c r="AM7" s="55" t="str">
        <f t="shared" ref="AM7:AM13" si="14">IMSUB(COMPLEX(1,0),IMDIV(COMPLEX(0,2*PI()*O7),COMPLEX(wz2_dcm,0)))</f>
        <v>1-0,0789928721903887i</v>
      </c>
      <c r="AN7" s="55">
        <f>IMABS(AM7)</f>
        <v>1.003115085051006</v>
      </c>
      <c r="AO7" s="55">
        <f>IMARGUMENT(AM7)</f>
        <v>-7.882918274295786E-2</v>
      </c>
      <c r="AP7" s="52" t="str">
        <f>(IMDIV(IMPRODUCT(AF7,AJ7,AM7),IMPRODUCT(AG7)))</f>
        <v>0,539389454446397-0,660852601627268i</v>
      </c>
      <c r="AQ7" s="55">
        <f>20*LOG(IMABS(AP7))</f>
        <v>-1.3806723373772514</v>
      </c>
      <c r="AR7" s="58">
        <f>(180/PI())*IMARGUMENT(AP7)</f>
        <v>-50.778595472726401</v>
      </c>
      <c r="AS7" s="39" t="str">
        <f t="shared" ref="AS7:AS13" si="15">COMPLEX(Adc_ea,0)</f>
        <v>-0,0000166666666666667</v>
      </c>
      <c r="AT7" s="39" t="str">
        <f t="shared" ref="AT7:AT13" si="16">COMPLEX(0,2*PI()*O7*wp0_ea)</f>
        <v>0,0000963212307590631i</v>
      </c>
      <c r="AU7" s="39">
        <f t="shared" ref="AU7:AU13" si="17">IMABS(AT7)</f>
        <v>9.6321230759063105E-5</v>
      </c>
      <c r="AV7" s="39">
        <f t="shared" ref="AV7:AV13" si="18">IMARGUMENT(AT7)</f>
        <v>1.5707963267948966</v>
      </c>
      <c r="AW7" s="39" t="str">
        <f t="shared" ref="AW7:AW13" si="19">IMSUM(COMPLEX(1,0),IMDIV(COMPLEX(0,2*PI()*O7),COMPLEX(wp1_ea,0)))</f>
        <v>1+0,446339778181251i</v>
      </c>
      <c r="AX7" s="39">
        <f t="shared" ref="AX7:AX13" si="20">IMABS(AW7)</f>
        <v>1.0950886711069969</v>
      </c>
      <c r="AY7" s="39">
        <f t="shared" ref="AY7:AY13" si="21">IMARGUMENT(AW7)</f>
        <v>0.41980591710263931</v>
      </c>
      <c r="AZ7" s="39" t="str">
        <f t="shared" ref="AZ7:AZ13" si="22">IMSUM(COMPLEX(1,0),IMDIV(COMPLEX(0,2*PI()*O7),COMPLEX(wz_ea,0)))</f>
        <v>1+20,7345115136926i</v>
      </c>
      <c r="BA7" s="39">
        <f t="shared" ref="BA7:BA13" si="23">IMABS(AZ7)</f>
        <v>20.758611892692898</v>
      </c>
      <c r="BB7" s="39">
        <f t="shared" ref="BB7:BB13" si="24">IMARGUMENT(AZ7)</f>
        <v>1.5226048976643627</v>
      </c>
      <c r="BC7" s="44" t="str">
        <f t="shared" ref="BC7:BC13" si="25">IMPRODUCT(AS7,IMDIV(AZ7,IMPRODUCT(AT7,AW7)))</f>
        <v>-2,92732584158321+1,4796140858353i</v>
      </c>
      <c r="BD7" s="39">
        <f t="shared" ref="BD7:BD13" si="26">20*LOG(IMABS(BC7))</f>
        <v>10.317514991821014</v>
      </c>
      <c r="BE7" s="45">
        <f t="shared" ref="BE7:BE13" si="27">(180/PI())*IMARGUMENT(BC7)</f>
        <v>153.18572723751649</v>
      </c>
      <c r="BF7" s="44" t="str">
        <f t="shared" ref="BF7:BF13" si="28">IMPRODUCT(AC7,BC7)</f>
        <v>-0,0145136453604403+0,908067934334067i</v>
      </c>
      <c r="BG7" s="46">
        <f t="shared" ref="BG7:BG13" si="29">20*LOG(IMABS(BF7))</f>
        <v>-0.83652390671043908</v>
      </c>
      <c r="BH7" s="45">
        <f t="shared" ref="BH7:BH13" si="30">(180/PI())*IMARGUMENT(BF7)</f>
        <v>90.915680197457135</v>
      </c>
      <c r="BI7" s="44" t="str">
        <f>IMPRODUCT(AP7,BC7)</f>
        <v>-0,601161870649798+2,7326191327709i</v>
      </c>
      <c r="BJ7" s="46">
        <f t="shared" ref="BJ7:BJ13" si="31">20*LOG(IMABS(BI7))</f>
        <v>8.9368426544437529</v>
      </c>
      <c r="BK7" s="45">
        <f t="shared" ref="BK7:BK13" si="32">(180/PI())*IMARGUMENT(BI7)</f>
        <v>102.40713176479011</v>
      </c>
      <c r="BL7" s="41">
        <f>IF($B$31=0,BJ7,BG7)</f>
        <v>-0.83652390671043908</v>
      </c>
      <c r="BM7" s="43">
        <f>IF($B$31=0,BK7,BH7)</f>
        <v>90.915680197457135</v>
      </c>
    </row>
    <row r="8" spans="1:65" ht="15.75" thickBot="1" x14ac:dyDescent="0.3">
      <c r="A8" s="9"/>
      <c r="B8" s="9"/>
      <c r="C8" s="9"/>
      <c r="D8" s="4"/>
      <c r="E8" s="5"/>
      <c r="F8" s="5"/>
      <c r="G8" s="5"/>
      <c r="H8" s="5"/>
      <c r="I8" s="5"/>
      <c r="J8" s="5"/>
      <c r="K8" s="5"/>
      <c r="L8" s="5"/>
      <c r="M8" s="9"/>
      <c r="N8" s="177" t="s">
        <v>572</v>
      </c>
      <c r="O8" s="67">
        <f>fcross</f>
        <v>10000</v>
      </c>
      <c r="P8" s="63" t="str">
        <f t="shared" ref="P8:P13" si="33">COMPLEX(Adc,0)</f>
        <v>54,631621870174</v>
      </c>
      <c r="Q8" s="64" t="str">
        <f t="shared" ref="Q8:Q13" si="34">IMSUM(COMPLEX(1,0),IMDIV(COMPLEX(0,2*PI()*O8),COMPLEX(wp_lf,0)))</f>
        <v>1+280,47511884841i</v>
      </c>
      <c r="R8" s="64">
        <f t="shared" si="0"/>
        <v>280.47690153206861</v>
      </c>
      <c r="S8" s="64">
        <f t="shared" si="1"/>
        <v>1.5672309632545232</v>
      </c>
      <c r="T8" s="64" t="str">
        <f t="shared" ref="T8:T13" si="35">IMSUM(COMPLEX(1,0),IMDIV(COMPLEX(0,2*PI()*O8),COMPLEX(wz_esr,0)))</f>
        <v>1+0,950017618445555i</v>
      </c>
      <c r="U8" s="64">
        <f t="shared" si="2"/>
        <v>1.3793235571674125</v>
      </c>
      <c r="V8" s="64">
        <f t="shared" si="3"/>
        <v>0.75977201547527407</v>
      </c>
      <c r="W8" s="62" t="str">
        <f t="shared" ref="W8:W13" si="36">IMSUB(COMPLEX(1,0),IMDIV(COMPLEX(0,2*PI()*O8),COMPLEX(wz_rhp,0)))</f>
        <v>1-0,250029233504708i</v>
      </c>
      <c r="X8" s="64">
        <f t="shared" si="4"/>
        <v>1.0307834969609049</v>
      </c>
      <c r="Y8" s="64">
        <f t="shared" si="5"/>
        <v>-0.24500617682438905</v>
      </c>
      <c r="Z8" s="62" t="str">
        <f t="shared" ref="Z8:Z13" si="37">IMSUM(COMPLEX(1,0),IMDIV(COMPLEX(0,2*PI()*O8),COMPLEX(Q*(wsl/2),0)),IMDIV(IMPOWER(COMPLEX(0,2*PI()*O8),2),IMPOWER(COMPLEX(wsl/2,0),2)))</f>
        <v>0,9996+0,0343519944364491i</v>
      </c>
      <c r="AA8" s="64">
        <f t="shared" si="6"/>
        <v>1.000190091693455</v>
      </c>
      <c r="AB8" s="64">
        <f t="shared" si="7"/>
        <v>3.4352221617146898E-2</v>
      </c>
      <c r="AC8" s="65" t="str">
        <f t="shared" si="8"/>
        <v>0,128835524823147-0,245084119730838i</v>
      </c>
      <c r="AD8" s="66">
        <f t="shared" si="9"/>
        <v>-11.154038898531448</v>
      </c>
      <c r="AE8" s="67">
        <f t="shared" si="10"/>
        <v>-62.270047040059353</v>
      </c>
      <c r="AF8" s="41" t="str">
        <f t="shared" si="11"/>
        <v>171,265703090588</v>
      </c>
      <c r="AG8" t="str">
        <f t="shared" si="12"/>
        <v>1+277,790967070547i</v>
      </c>
      <c r="AH8">
        <f t="shared" ref="AH8:AH13" si="38">IMABS(AG8)</f>
        <v>277.79276697925337</v>
      </c>
      <c r="AI8">
        <f t="shared" ref="AI8:AI13" si="39">IMARGUMENT(AG8)</f>
        <v>1.5671965132696792</v>
      </c>
      <c r="AJ8" t="str">
        <f t="shared" si="13"/>
        <v>1+0,950017618445555i</v>
      </c>
      <c r="AK8">
        <f t="shared" ref="AK8:AK13" si="40">IMABS(AJ8)</f>
        <v>1.3793235571674125</v>
      </c>
      <c r="AL8">
        <f t="shared" ref="AL8:AL13" si="41">IMARGUMENT(AJ8)</f>
        <v>0.75977201547527407</v>
      </c>
      <c r="AM8" t="str">
        <f t="shared" si="14"/>
        <v>1-0,0789928721903887i</v>
      </c>
      <c r="AN8">
        <f t="shared" ref="AN8:AN13" si="42">IMABS(AM8)</f>
        <v>1.003115085051006</v>
      </c>
      <c r="AO8">
        <f t="shared" ref="AO8:AO13" si="43">IMARGUMENT(AM8)</f>
        <v>-7.882918274295786E-2</v>
      </c>
      <c r="AP8" s="41" t="str">
        <f t="shared" ref="AP8:AP13" si="44">(IMDIV(IMPRODUCT(AF8,AJ8,AM8),IMPRODUCT(AG8)))</f>
        <v>0,539389454446397-0,660852601627268i</v>
      </c>
      <c r="AQ8">
        <f t="shared" ref="AQ8:AQ13" si="45">20*LOG(IMABS(AP8))</f>
        <v>-1.3806723373772514</v>
      </c>
      <c r="AR8" s="43">
        <f t="shared" ref="AR8:AR13" si="46">(180/PI())*IMARGUMENT(AP8)</f>
        <v>-50.778595472726401</v>
      </c>
      <c r="AS8" s="62" t="str">
        <f t="shared" si="15"/>
        <v>-0,0000166666666666667</v>
      </c>
      <c r="AT8" s="62" t="str">
        <f t="shared" si="16"/>
        <v>0,0000963212307590631i</v>
      </c>
      <c r="AU8" s="62">
        <f t="shared" si="17"/>
        <v>9.6321230759063105E-5</v>
      </c>
      <c r="AV8" s="62">
        <f t="shared" si="18"/>
        <v>1.5707963267948966</v>
      </c>
      <c r="AW8" s="62" t="str">
        <f t="shared" si="19"/>
        <v>1+0,446339778181251i</v>
      </c>
      <c r="AX8" s="62">
        <f t="shared" si="20"/>
        <v>1.0950886711069969</v>
      </c>
      <c r="AY8" s="62">
        <f t="shared" si="21"/>
        <v>0.41980591710263931</v>
      </c>
      <c r="AZ8" s="62" t="str">
        <f t="shared" si="22"/>
        <v>1+20,7345115136926i</v>
      </c>
      <c r="BA8" s="62">
        <f t="shared" si="23"/>
        <v>20.758611892692898</v>
      </c>
      <c r="BB8" s="62">
        <f t="shared" si="24"/>
        <v>1.5226048976643627</v>
      </c>
      <c r="BC8" s="61" t="str">
        <f t="shared" si="25"/>
        <v>-2,92732584158321+1,4796140858353i</v>
      </c>
      <c r="BD8" s="62">
        <f t="shared" si="26"/>
        <v>10.317514991821014</v>
      </c>
      <c r="BE8" s="67">
        <f t="shared" si="27"/>
        <v>153.18572723751649</v>
      </c>
      <c r="BF8" s="61" t="str">
        <f t="shared" si="28"/>
        <v>-0,0145136453604403+0,908067934334067i</v>
      </c>
      <c r="BG8" s="66">
        <f t="shared" si="29"/>
        <v>-0.83652390671043908</v>
      </c>
      <c r="BH8" s="67">
        <f t="shared" si="30"/>
        <v>90.915680197457135</v>
      </c>
      <c r="BI8" s="61" t="str">
        <f t="shared" ref="BI8:BI13" si="47">IMPRODUCT(AP8,BC8)</f>
        <v>-0,601161870649798+2,7326191327709i</v>
      </c>
      <c r="BJ8" s="66">
        <f t="shared" si="31"/>
        <v>8.9368426544437529</v>
      </c>
      <c r="BK8" s="67">
        <f t="shared" si="32"/>
        <v>102.40713176479011</v>
      </c>
      <c r="BL8" s="41">
        <f t="shared" ref="BL8:BL13" si="48">IF($B$31=0,BJ8,BG8)</f>
        <v>-0.83652390671043908</v>
      </c>
      <c r="BM8" s="43">
        <f t="shared" ref="BM8:BM13" si="49">IF($B$31=0,BK8,BH8)</f>
        <v>90.915680197457135</v>
      </c>
    </row>
    <row r="9" spans="1:65" ht="15.75" thickBot="1" x14ac:dyDescent="0.3">
      <c r="A9" s="50" t="s">
        <v>172</v>
      </c>
      <c r="B9" s="9"/>
      <c r="C9" s="9"/>
      <c r="D9" s="4"/>
      <c r="E9" s="5"/>
      <c r="F9" s="5"/>
      <c r="G9" s="5"/>
      <c r="H9" s="5"/>
      <c r="I9" s="5"/>
      <c r="J9" s="5"/>
      <c r="K9" s="5"/>
      <c r="L9" s="5"/>
      <c r="M9" s="9"/>
      <c r="N9" s="179" t="s">
        <v>258</v>
      </c>
      <c r="O9" s="68">
        <f>IF($B$31=0,B78,wz_rhp/(2*PI()))</f>
        <v>39995.323186125308</v>
      </c>
      <c r="P9" s="53" t="str">
        <f t="shared" si="33"/>
        <v>54,631621870174</v>
      </c>
      <c r="Q9" s="54" t="str">
        <f t="shared" si="34"/>
        <v>1+1121,76930240091i</v>
      </c>
      <c r="R9" s="54">
        <f t="shared" si="0"/>
        <v>1121.7697481252667</v>
      </c>
      <c r="S9" s="54">
        <f t="shared" si="1"/>
        <v>1.5699048781405556</v>
      </c>
      <c r="T9" s="54" t="str">
        <f t="shared" si="35"/>
        <v>1+3,79962616822431i</v>
      </c>
      <c r="U9" s="54">
        <f t="shared" si="2"/>
        <v>3.9290150188380486</v>
      </c>
      <c r="V9" s="54">
        <f t="shared" si="3"/>
        <v>1.3134483976934155</v>
      </c>
      <c r="W9" s="55" t="str">
        <f t="shared" si="36"/>
        <v>1-i</v>
      </c>
      <c r="X9" s="54">
        <f t="shared" si="4"/>
        <v>1.4142135623730951</v>
      </c>
      <c r="Y9" s="54">
        <f t="shared" si="5"/>
        <v>-0.78539816339744828</v>
      </c>
      <c r="Z9" s="55" t="str">
        <f t="shared" si="37"/>
        <v>0,993601496492949+0,137391911957376i</v>
      </c>
      <c r="AA9" s="54">
        <f t="shared" si="6"/>
        <v>1.003055567406079</v>
      </c>
      <c r="AB9" s="54">
        <f t="shared" si="7"/>
        <v>0.13740534665263629</v>
      </c>
      <c r="AC9" s="56" t="str">
        <f t="shared" si="8"/>
        <v>0,102951481648114-0,249366570812682i</v>
      </c>
      <c r="AD9" s="57">
        <f t="shared" si="9"/>
        <v>-11.379718720813374</v>
      </c>
      <c r="AE9" s="58">
        <f t="shared" si="10"/>
        <v>-67.566620404128486</v>
      </c>
      <c r="AF9" s="41" t="str">
        <f t="shared" si="11"/>
        <v>171,265703090588</v>
      </c>
      <c r="AG9" t="str">
        <f t="shared" si="12"/>
        <v>1+1111,03395061729i</v>
      </c>
      <c r="AH9">
        <f t="shared" si="38"/>
        <v>1111.0344006484511</v>
      </c>
      <c r="AI9">
        <f t="shared" si="39"/>
        <v>1.5698962645336065</v>
      </c>
      <c r="AJ9" t="str">
        <f t="shared" si="13"/>
        <v>1+3,79962616822431i</v>
      </c>
      <c r="AK9">
        <f t="shared" si="40"/>
        <v>3.9290150188380486</v>
      </c>
      <c r="AL9">
        <f t="shared" si="41"/>
        <v>1.3134483976934155</v>
      </c>
      <c r="AM9" t="str">
        <f t="shared" si="14"/>
        <v>1-0,315934545265489i</v>
      </c>
      <c r="AN9">
        <f t="shared" si="42"/>
        <v>1.0487204760526569</v>
      </c>
      <c r="AO9">
        <f t="shared" si="43"/>
        <v>-0.30601078238463258</v>
      </c>
      <c r="AP9" s="41" t="str">
        <f t="shared" si="44"/>
        <v>0,537315360725878-0,338712797792385i</v>
      </c>
      <c r="AQ9">
        <f t="shared" si="45"/>
        <v>-3.9422733555454208</v>
      </c>
      <c r="AR9" s="43">
        <f t="shared" si="46"/>
        <v>-32.226506751211595</v>
      </c>
      <c r="AS9" s="55" t="str">
        <f t="shared" si="15"/>
        <v>-0,0000166666666666667</v>
      </c>
      <c r="AT9" s="55" t="str">
        <f t="shared" si="16"/>
        <v>0,000385239875389408i</v>
      </c>
      <c r="AU9" s="55">
        <f t="shared" si="17"/>
        <v>3.8523987538940799E-4</v>
      </c>
      <c r="AV9" s="55">
        <f t="shared" si="18"/>
        <v>1.5707963267948966</v>
      </c>
      <c r="AW9" s="55" t="str">
        <f t="shared" si="19"/>
        <v>1+1,78515036791826i</v>
      </c>
      <c r="AX9" s="55">
        <f t="shared" si="20"/>
        <v>2.0461578228667259</v>
      </c>
      <c r="AY9" s="55">
        <f t="shared" si="21"/>
        <v>1.0601733465772349</v>
      </c>
      <c r="AZ9" s="55" t="str">
        <f t="shared" si="22"/>
        <v>1+82,9283489096575i</v>
      </c>
      <c r="BA9" s="55">
        <f t="shared" si="23"/>
        <v>82.934377991770646</v>
      </c>
      <c r="BB9" s="55">
        <f t="shared" si="24"/>
        <v>1.5587383086694842</v>
      </c>
      <c r="BC9" s="52" t="str">
        <f t="shared" si="25"/>
        <v>-0,838477440146612+1,54007139886385i</v>
      </c>
      <c r="BD9" s="55">
        <f t="shared" si="26"/>
        <v>4.8782595864913549</v>
      </c>
      <c r="BE9" s="58">
        <f t="shared" si="27"/>
        <v>118.56566814098582</v>
      </c>
      <c r="BF9" s="52" t="str">
        <f t="shared" si="28"/>
        <v>0,297719828749757+0,367640876310073i</v>
      </c>
      <c r="BG9" s="57">
        <f t="shared" si="29"/>
        <v>-6.5014591343220243</v>
      </c>
      <c r="BH9" s="58">
        <f t="shared" si="30"/>
        <v>50.999047736857293</v>
      </c>
      <c r="BI9" s="61" t="str">
        <f t="shared" si="47"/>
        <v>0,0711150840963191+1,11150705886199i</v>
      </c>
      <c r="BJ9" s="57">
        <f t="shared" si="31"/>
        <v>0.93598623094590827</v>
      </c>
      <c r="BK9" s="58">
        <f t="shared" si="32"/>
        <v>86.339161389774205</v>
      </c>
      <c r="BL9" s="41">
        <f t="shared" si="48"/>
        <v>-6.5014591343220243</v>
      </c>
      <c r="BM9" s="43">
        <f t="shared" si="49"/>
        <v>50.999047736857293</v>
      </c>
    </row>
    <row r="10" spans="1:65" ht="15.75" thickBot="1" x14ac:dyDescent="0.3">
      <c r="A10" t="s">
        <v>25</v>
      </c>
      <c r="B10" s="3">
        <f>VIN_min</f>
        <v>11</v>
      </c>
      <c r="C10" t="s">
        <v>10</v>
      </c>
      <c r="E10" t="s">
        <v>28</v>
      </c>
      <c r="N10" s="178" t="s">
        <v>219</v>
      </c>
      <c r="O10" s="69">
        <f>IF(B31=0,B76,wz_esr/(2*PI()))</f>
        <v>10526.120574860804</v>
      </c>
      <c r="P10" s="33" t="str">
        <f t="shared" si="33"/>
        <v>54,631621870174</v>
      </c>
      <c r="Q10" s="4" t="str">
        <f t="shared" si="34"/>
        <v>1+295,231491924677i</v>
      </c>
      <c r="R10" s="4">
        <f t="shared" si="0"/>
        <v>295.23318550608542</v>
      </c>
      <c r="S10" s="4">
        <f t="shared" si="1"/>
        <v>1.5674091672165111</v>
      </c>
      <c r="T10" s="4" t="str">
        <f t="shared" si="35"/>
        <v>1+i</v>
      </c>
      <c r="U10" s="4">
        <f t="shared" si="2"/>
        <v>1.4142135623730951</v>
      </c>
      <c r="V10" s="4">
        <f t="shared" si="3"/>
        <v>0.78539816339744828</v>
      </c>
      <c r="W10" t="str">
        <f t="shared" si="36"/>
        <v>1-0,263183785911058i</v>
      </c>
      <c r="X10" s="4">
        <f t="shared" si="4"/>
        <v>1.034053047559204</v>
      </c>
      <c r="Y10" s="4">
        <f t="shared" si="5"/>
        <v>-0.25734792910148124</v>
      </c>
      <c r="Z10" t="str">
        <f t="shared" si="37"/>
        <v>0,999556803142574+0,0361593235425011i</v>
      </c>
      <c r="AA10" s="4">
        <f t="shared" si="6"/>
        <v>1.0002106275118523</v>
      </c>
      <c r="AB10" s="4">
        <f t="shared" si="7"/>
        <v>3.6159588355212352E-2</v>
      </c>
      <c r="AC10" s="47" t="str">
        <f t="shared" si="8"/>
        <v>0,128585276371204-0,238038580291467i</v>
      </c>
      <c r="AD10" s="20">
        <f t="shared" si="9"/>
        <v>-11.355094534478241</v>
      </c>
      <c r="AE10" s="43">
        <f t="shared" si="10"/>
        <v>-61.622672057251997</v>
      </c>
      <c r="AF10" s="41" t="str">
        <f t="shared" si="11"/>
        <v>171,265703090588</v>
      </c>
      <c r="AG10" t="str">
        <f t="shared" si="12"/>
        <v>1+292,406121399177i</v>
      </c>
      <c r="AH10">
        <f t="shared" si="38"/>
        <v>292.40783134469956</v>
      </c>
      <c r="AI10">
        <f t="shared" si="39"/>
        <v>1.5673764390830116</v>
      </c>
      <c r="AJ10" t="str">
        <f t="shared" si="13"/>
        <v>1+i</v>
      </c>
      <c r="AK10">
        <f t="shared" si="40"/>
        <v>1.4142135623730951</v>
      </c>
      <c r="AL10">
        <f t="shared" si="41"/>
        <v>0.78539816339744828</v>
      </c>
      <c r="AM10" t="str">
        <f t="shared" si="14"/>
        <v>1-0,0831488497230599i</v>
      </c>
      <c r="AN10">
        <f t="shared" si="42"/>
        <v>1.0034509112110408</v>
      </c>
      <c r="AO10">
        <f t="shared" si="43"/>
        <v>-8.2958017783736945E-2</v>
      </c>
      <c r="AP10" s="41" t="str">
        <f t="shared" si="44"/>
        <v>0,539173821744311-0,632569094630306i</v>
      </c>
      <c r="AQ10">
        <f t="shared" si="45"/>
        <v>-1.6061493708626848</v>
      </c>
      <c r="AR10" s="43">
        <f t="shared" si="46"/>
        <v>-49.557199163479552</v>
      </c>
      <c r="AS10" t="str">
        <f t="shared" si="15"/>
        <v>-0,0000166666666666667</v>
      </c>
      <c r="AT10" t="str">
        <f t="shared" si="16"/>
        <v>0,000101388888888889i</v>
      </c>
      <c r="AU10">
        <f t="shared" si="17"/>
        <v>1.0138888888888899E-4</v>
      </c>
      <c r="AV10">
        <f t="shared" si="18"/>
        <v>1.5707963267948966</v>
      </c>
      <c r="AW10" t="str">
        <f t="shared" si="19"/>
        <v>1+0,469822632249246i</v>
      </c>
      <c r="AX10">
        <f t="shared" si="20"/>
        <v>1.1048680037785557</v>
      </c>
      <c r="AY10">
        <f t="shared" si="21"/>
        <v>0.43921560113423302</v>
      </c>
      <c r="AZ10" t="str">
        <f t="shared" si="22"/>
        <v>1+21,8253968253968i</v>
      </c>
      <c r="BA10">
        <f t="shared" si="23"/>
        <v>21.848293905612877</v>
      </c>
      <c r="BB10">
        <f t="shared" si="24"/>
        <v>1.5250101667769693</v>
      </c>
      <c r="BC10" s="41" t="str">
        <f t="shared" si="25"/>
        <v>-2,87573488018669+1,51546889270412i</v>
      </c>
      <c r="BD10">
        <f t="shared" si="26"/>
        <v>10.239310367777222</v>
      </c>
      <c r="BE10" s="43">
        <f t="shared" si="27"/>
        <v>152.21144602956915</v>
      </c>
      <c r="BF10" s="41" t="str">
        <f t="shared" si="28"/>
        <v>-0,00903710064394658+0,879402834574613i</v>
      </c>
      <c r="BG10" s="20">
        <f t="shared" si="29"/>
        <v>-1.1157841667010262</v>
      </c>
      <c r="BH10" s="43">
        <f t="shared" si="30"/>
        <v>90.588773972317156</v>
      </c>
      <c r="BI10" s="61" t="str">
        <f t="shared" si="47"/>
        <v>-0,591882180275439+2,63620216417039i</v>
      </c>
      <c r="BJ10" s="20">
        <f t="shared" si="31"/>
        <v>8.6331609969145511</v>
      </c>
      <c r="BK10" s="43">
        <f t="shared" si="32"/>
        <v>102.65424686608958</v>
      </c>
      <c r="BL10" s="41">
        <f t="shared" si="48"/>
        <v>-1.1157841667010262</v>
      </c>
      <c r="BM10" s="43">
        <f t="shared" si="49"/>
        <v>90.588773972317156</v>
      </c>
    </row>
    <row r="11" spans="1:65" ht="15.75" thickBot="1" x14ac:dyDescent="0.3">
      <c r="A11" t="s">
        <v>26</v>
      </c>
      <c r="B11" s="3">
        <f>VIN_nom</f>
        <v>11</v>
      </c>
      <c r="C11" t="s">
        <v>10</v>
      </c>
      <c r="E11" t="s">
        <v>29</v>
      </c>
      <c r="N11" s="180" t="s">
        <v>217</v>
      </c>
      <c r="O11" s="70">
        <f>IF(B31=0,B74,wp_lf/(2*PI()))</f>
        <v>35.653786478667136</v>
      </c>
      <c r="P11" s="59" t="str">
        <f t="shared" si="33"/>
        <v>54,631621870174</v>
      </c>
      <c r="Q11" s="38" t="str">
        <f t="shared" si="34"/>
        <v>1+i</v>
      </c>
      <c r="R11" s="38">
        <f t="shared" si="0"/>
        <v>1.4142135623730951</v>
      </c>
      <c r="S11" s="38">
        <f t="shared" si="1"/>
        <v>0.78539816339744828</v>
      </c>
      <c r="T11" s="38" t="str">
        <f t="shared" si="35"/>
        <v>1+0,00338717253190297i</v>
      </c>
      <c r="U11" s="38">
        <f t="shared" si="2"/>
        <v>1.0000057364524271</v>
      </c>
      <c r="V11" s="38">
        <f t="shared" si="3"/>
        <v>3.387159578385591E-3</v>
      </c>
      <c r="W11" s="39" t="str">
        <f t="shared" si="36"/>
        <v>1-0,000891448890480168i</v>
      </c>
      <c r="X11" s="38">
        <f t="shared" si="4"/>
        <v>1.0000003973404832</v>
      </c>
      <c r="Y11" s="38">
        <f t="shared" si="5"/>
        <v>-8.9144865434107837E-4</v>
      </c>
      <c r="Z11" s="39" t="str">
        <f t="shared" si="37"/>
        <v>0,99999999491523+0,000122477867475352i</v>
      </c>
      <c r="AA11" s="38">
        <f t="shared" si="6"/>
        <v>1.0000000024156439</v>
      </c>
      <c r="AB11" s="38">
        <f t="shared" si="7"/>
        <v>1.2247786748570066E-4</v>
      </c>
      <c r="AC11" s="42" t="str">
        <f t="shared" si="8"/>
        <v>27,3807286158221-27,2510743716185i</v>
      </c>
      <c r="AD11" s="46">
        <f t="shared" si="9"/>
        <v>31.738635175180924</v>
      </c>
      <c r="AE11" s="45">
        <f t="shared" si="10"/>
        <v>-44.864023762058345</v>
      </c>
      <c r="AF11" s="41" t="str">
        <f t="shared" si="11"/>
        <v>171,265703090588</v>
      </c>
      <c r="AG11" t="str">
        <f t="shared" si="12"/>
        <v>1+0,990429982563577i</v>
      </c>
      <c r="AH11">
        <f t="shared" si="38"/>
        <v>1.4074628060310821</v>
      </c>
      <c r="AI11">
        <f t="shared" si="39"/>
        <v>0.78059018533346936</v>
      </c>
      <c r="AJ11" t="str">
        <f t="shared" si="13"/>
        <v>1+0,00338717253190297i</v>
      </c>
      <c r="AK11">
        <f t="shared" si="40"/>
        <v>1.0000057364524271</v>
      </c>
      <c r="AL11">
        <f t="shared" si="41"/>
        <v>3.387159578385591E-3</v>
      </c>
      <c r="AM11" t="str">
        <f t="shared" si="14"/>
        <v>1-0,000281639499841277i</v>
      </c>
      <c r="AN11">
        <f t="shared" si="42"/>
        <v>1.0000000396604032</v>
      </c>
      <c r="AO11">
        <f t="shared" si="43"/>
        <v>-2.8163949239465313E-4</v>
      </c>
      <c r="AP11" s="41" t="str">
        <f t="shared" si="44"/>
        <v>86,7222864288631-85,3604813374053i</v>
      </c>
      <c r="AQ11">
        <f t="shared" si="45"/>
        <v>41.704719668305465</v>
      </c>
      <c r="AR11" s="43">
        <f t="shared" si="46"/>
        <v>-44.546589954822132</v>
      </c>
      <c r="AS11" s="39" t="str">
        <f t="shared" si="15"/>
        <v>-0,0000166666666666667</v>
      </c>
      <c r="AT11" s="39" t="str">
        <f t="shared" si="16"/>
        <v>3,43421659484606E-07i</v>
      </c>
      <c r="AU11" s="39">
        <f t="shared" si="17"/>
        <v>3.43421659484606E-7</v>
      </c>
      <c r="AV11" s="39">
        <f t="shared" si="18"/>
        <v>1.5707963267948966</v>
      </c>
      <c r="AW11" s="39" t="str">
        <f t="shared" si="19"/>
        <v>1+0,001591370314821i</v>
      </c>
      <c r="AX11" s="39">
        <f t="shared" si="20"/>
        <v>1.0000012662289377</v>
      </c>
      <c r="AY11" s="39">
        <f t="shared" si="21"/>
        <v>1.5913689714627617E-3</v>
      </c>
      <c r="AZ11" s="39" t="str">
        <f t="shared" si="22"/>
        <v>1+0,0739263846248664i</v>
      </c>
      <c r="BA11" s="39">
        <f t="shared" si="23"/>
        <v>1.0027288319100551</v>
      </c>
      <c r="BB11" s="39">
        <f t="shared" si="24"/>
        <v>7.3792152556793569E-2</v>
      </c>
      <c r="BC11" s="44" t="str">
        <f t="shared" si="25"/>
        <v>-3,51049645662877+48,5367906518533i</v>
      </c>
      <c r="BD11" s="39">
        <f t="shared" si="26"/>
        <v>33.744080395880907</v>
      </c>
      <c r="BE11" s="45">
        <f t="shared" si="27"/>
        <v>94.136800176976891</v>
      </c>
      <c r="BF11" s="44" t="str">
        <f t="shared" si="28"/>
        <v>1226,55974102757+1424,63749274226i</v>
      </c>
      <c r="BG11" s="46">
        <f t="shared" si="29"/>
        <v>65.482715571061817</v>
      </c>
      <c r="BH11" s="45">
        <f t="shared" si="30"/>
        <v>49.272776414918646</v>
      </c>
      <c r="BI11" s="61" t="str">
        <f t="shared" si="47"/>
        <v>3838,6855333958+4508,87912851887i</v>
      </c>
      <c r="BJ11" s="46">
        <f t="shared" si="31"/>
        <v>75.448800064186358</v>
      </c>
      <c r="BK11" s="45">
        <f t="shared" si="32"/>
        <v>49.590210222154752</v>
      </c>
      <c r="BL11" s="41">
        <f t="shared" si="48"/>
        <v>65.482715571061817</v>
      </c>
      <c r="BM11" s="43">
        <f t="shared" si="49"/>
        <v>49.272776414918646</v>
      </c>
    </row>
    <row r="12" spans="1:65" ht="15.75" thickBot="1" x14ac:dyDescent="0.3">
      <c r="A12" t="s">
        <v>27</v>
      </c>
      <c r="B12" s="3">
        <f>VIN_max</f>
        <v>22</v>
      </c>
      <c r="C12" t="s">
        <v>10</v>
      </c>
      <c r="E12" t="s">
        <v>30</v>
      </c>
      <c r="N12" s="179" t="s">
        <v>226</v>
      </c>
      <c r="O12" s="58">
        <f>wz_ea/(2*PI())</f>
        <v>482.28770633907675</v>
      </c>
      <c r="P12" s="53" t="str">
        <f t="shared" si="33"/>
        <v>54,631621870174</v>
      </c>
      <c r="Q12" s="54" t="str">
        <f t="shared" si="34"/>
        <v>1+13,5269701754579i</v>
      </c>
      <c r="R12" s="54">
        <f t="shared" si="0"/>
        <v>13.563883003319052</v>
      </c>
      <c r="S12" s="54">
        <f t="shared" si="1"/>
        <v>1.4970041742381028</v>
      </c>
      <c r="T12" s="54" t="str">
        <f t="shared" si="35"/>
        <v>1+0,0458181818181818i</v>
      </c>
      <c r="U12" s="54">
        <f t="shared" si="2"/>
        <v>1.0010491025844457</v>
      </c>
      <c r="V12" s="54">
        <f t="shared" si="3"/>
        <v>4.5786160017927235E-2</v>
      </c>
      <c r="W12" s="55" t="str">
        <f t="shared" si="36"/>
        <v>1-0,0120586025544703i</v>
      </c>
      <c r="X12" s="54">
        <f t="shared" si="4"/>
        <v>1.0000727023049707</v>
      </c>
      <c r="Y12" s="54">
        <f t="shared" si="5"/>
        <v>-1.2058018125412471E-2</v>
      </c>
      <c r="Z12" s="55" t="str">
        <f t="shared" si="37"/>
        <v>0,999999069594273+0,00165675446049278i</v>
      </c>
      <c r="AA12" s="54">
        <f t="shared" si="6"/>
        <v>1.0000004420122794</v>
      </c>
      <c r="AB12" s="54">
        <f t="shared" si="7"/>
        <v>1.6567544861069189E-3</v>
      </c>
      <c r="AC12" s="56" t="str">
        <f t="shared" si="8"/>
        <v>0,426070762366521-4,00967038364157i</v>
      </c>
      <c r="AD12" s="57">
        <f t="shared" si="9"/>
        <v>12.110936408763468</v>
      </c>
      <c r="AE12" s="58">
        <f t="shared" si="10"/>
        <v>-83.934465955794039</v>
      </c>
      <c r="AF12" s="41" t="str">
        <f t="shared" si="11"/>
        <v>171,265703090588</v>
      </c>
      <c r="AG12" t="str">
        <f t="shared" si="12"/>
        <v>1+13,3975168350168i</v>
      </c>
      <c r="AH12">
        <f t="shared" si="38"/>
        <v>13.434785347915261</v>
      </c>
      <c r="AI12">
        <f t="shared" si="39"/>
        <v>1.4962937814709338</v>
      </c>
      <c r="AJ12" t="str">
        <f t="shared" si="13"/>
        <v>1+0,0458181818181818i</v>
      </c>
      <c r="AK12">
        <f t="shared" si="40"/>
        <v>1.0010491025844457</v>
      </c>
      <c r="AL12">
        <f t="shared" si="41"/>
        <v>4.5786160017927235E-2</v>
      </c>
      <c r="AM12" t="str">
        <f t="shared" si="14"/>
        <v>1-0,00380972911458384i</v>
      </c>
      <c r="AN12">
        <f t="shared" si="42"/>
        <v>1.0000072569916312</v>
      </c>
      <c r="AO12">
        <f t="shared" si="43"/>
        <v>-3.8097106832292679E-3</v>
      </c>
      <c r="AP12" s="41" t="str">
        <f t="shared" si="44"/>
        <v>1,48307574807866-12,6749251144596i</v>
      </c>
      <c r="AQ12">
        <f t="shared" si="45"/>
        <v>22.11796404252906</v>
      </c>
      <c r="AR12" s="43">
        <f t="shared" si="46"/>
        <v>-83.326245204131894</v>
      </c>
      <c r="AS12" s="55" t="str">
        <f t="shared" si="15"/>
        <v>-0,0000166666666666667</v>
      </c>
      <c r="AT12" s="55" t="str">
        <f t="shared" si="16"/>
        <v>4,64545454545455E-06i</v>
      </c>
      <c r="AU12" s="55">
        <f t="shared" si="17"/>
        <v>4.6454545454545496E-6</v>
      </c>
      <c r="AV12" s="55">
        <f t="shared" si="18"/>
        <v>1.5707963267948966</v>
      </c>
      <c r="AW12" s="55" t="str">
        <f t="shared" si="19"/>
        <v>1+0,0215264187866928i</v>
      </c>
      <c r="AX12" s="55">
        <f t="shared" si="20"/>
        <v>1.0002316665182023</v>
      </c>
      <c r="AY12" s="55">
        <f t="shared" si="21"/>
        <v>2.152309469208568E-2</v>
      </c>
      <c r="AZ12" s="55" t="str">
        <f t="shared" si="22"/>
        <v>1+i</v>
      </c>
      <c r="BA12" s="55">
        <f t="shared" si="23"/>
        <v>1.4142135623730951</v>
      </c>
      <c r="BB12" s="55">
        <f t="shared" si="24"/>
        <v>0.78539816339744828</v>
      </c>
      <c r="BC12" s="52" t="str">
        <f t="shared" si="25"/>
        <v>-3,50887937876247+3,66327007142802i</v>
      </c>
      <c r="BD12" s="55">
        <f t="shared" si="26"/>
        <v>14.104698652674379</v>
      </c>
      <c r="BE12" s="58">
        <f t="shared" si="27"/>
        <v>133.76681751208307</v>
      </c>
      <c r="BF12" s="52" t="str">
        <f t="shared" si="28"/>
        <v>13,193474600724+15,6302619968823i</v>
      </c>
      <c r="BG12" s="57">
        <f t="shared" si="29"/>
        <v>26.215635061437851</v>
      </c>
      <c r="BH12" s="58">
        <f t="shared" si="30"/>
        <v>49.83235155628897</v>
      </c>
      <c r="BI12" s="61" t="str">
        <f t="shared" si="47"/>
        <v>41,2277399198153+49,9076903630831i</v>
      </c>
      <c r="BJ12" s="57">
        <f t="shared" si="31"/>
        <v>36.222662695203439</v>
      </c>
      <c r="BK12" s="58">
        <f t="shared" si="32"/>
        <v>50.44057230795115</v>
      </c>
      <c r="BL12" s="41">
        <f t="shared" si="48"/>
        <v>26.215635061437851</v>
      </c>
      <c r="BM12" s="43">
        <f t="shared" si="49"/>
        <v>49.83235155628897</v>
      </c>
    </row>
    <row r="13" spans="1:65" ht="15.75" thickBot="1" x14ac:dyDescent="0.3">
      <c r="A13" t="s">
        <v>64</v>
      </c>
      <c r="B13" s="3">
        <f>Fsw</f>
        <v>1000000</v>
      </c>
      <c r="C13" t="s">
        <v>65</v>
      </c>
      <c r="E13" t="s">
        <v>66</v>
      </c>
      <c r="N13" s="180" t="s">
        <v>232</v>
      </c>
      <c r="O13" s="45">
        <f>wp1_ea/(2*PI())</f>
        <v>22404.45617629711</v>
      </c>
      <c r="P13" s="59" t="str">
        <f t="shared" si="33"/>
        <v>54,631621870174</v>
      </c>
      <c r="Q13" s="38" t="str">
        <f t="shared" si="34"/>
        <v>1+628,389250878092i</v>
      </c>
      <c r="R13" s="38">
        <f t="shared" si="0"/>
        <v>628.39004656274551</v>
      </c>
      <c r="S13" s="38">
        <f t="shared" si="1"/>
        <v>1.5692049578234339</v>
      </c>
      <c r="T13" s="38" t="str">
        <f t="shared" si="35"/>
        <v>1+2,12846280991736i</v>
      </c>
      <c r="U13" s="38">
        <f t="shared" si="2"/>
        <v>2.3516704559102886</v>
      </c>
      <c r="V13" s="38">
        <f t="shared" si="3"/>
        <v>1.1315807256606638</v>
      </c>
      <c r="W13" s="39" t="str">
        <f t="shared" si="36"/>
        <v>1-0,560176900484939i</v>
      </c>
      <c r="X13" s="38">
        <f t="shared" si="4"/>
        <v>1.1462103471164937</v>
      </c>
      <c r="Y13" s="38">
        <f t="shared" si="5"/>
        <v>-0.51062298021766128</v>
      </c>
      <c r="Z13" s="39" t="str">
        <f t="shared" si="37"/>
        <v>0,997992161373778+0,0769637753919827i</v>
      </c>
      <c r="AA13" s="38">
        <f t="shared" si="6"/>
        <v>1.0009554320178757</v>
      </c>
      <c r="AB13" s="38">
        <f t="shared" si="7"/>
        <v>7.6966278331313268E-2</v>
      </c>
      <c r="AC13" s="42" t="str">
        <f t="shared" si="8"/>
        <v>0,121489359133785-0,200132700088194i</v>
      </c>
      <c r="AD13" s="46">
        <f t="shared" si="9"/>
        <v>-12.611183131804019</v>
      </c>
      <c r="AE13" s="45">
        <f t="shared" si="10"/>
        <v>-58.740406117657663</v>
      </c>
      <c r="AF13" s="44" t="str">
        <f t="shared" si="11"/>
        <v>171,265703090588</v>
      </c>
      <c r="AG13" s="39" t="str">
        <f t="shared" si="12"/>
        <v>1+622,375554790327i</v>
      </c>
      <c r="AH13" s="39">
        <f t="shared" si="38"/>
        <v>622.37635816326394</v>
      </c>
      <c r="AI13" s="39">
        <f t="shared" si="39"/>
        <v>1.5691895812667997</v>
      </c>
      <c r="AJ13" s="39" t="str">
        <f t="shared" si="13"/>
        <v>1+2,12846280991736i</v>
      </c>
      <c r="AK13" s="39">
        <f t="shared" si="40"/>
        <v>2.3516704559102886</v>
      </c>
      <c r="AL13" s="39">
        <f t="shared" si="41"/>
        <v>1.1315807256606638</v>
      </c>
      <c r="AM13" s="39" t="str">
        <f t="shared" si="14"/>
        <v>1-0,17697923432294i</v>
      </c>
      <c r="AN13" s="39">
        <f t="shared" si="42"/>
        <v>1.0155400776835615</v>
      </c>
      <c r="AO13" s="39">
        <f t="shared" si="43"/>
        <v>-0.17516544032454889</v>
      </c>
      <c r="AP13" s="44" t="str">
        <f t="shared" si="44"/>
        <v>0,537617809231781-0,377975641876641i</v>
      </c>
      <c r="AQ13" s="39">
        <f t="shared" si="45"/>
        <v>-3.6461830964563093</v>
      </c>
      <c r="AR13" s="45">
        <f t="shared" si="46"/>
        <v>-35.109380950928724</v>
      </c>
      <c r="AS13" s="39" t="str">
        <f t="shared" si="15"/>
        <v>-0,0000166666666666667</v>
      </c>
      <c r="AT13" s="39" t="str">
        <f t="shared" si="16"/>
        <v>0,000215802479338843i</v>
      </c>
      <c r="AU13" s="39">
        <f t="shared" si="17"/>
        <v>2.15802479338843E-4</v>
      </c>
      <c r="AV13" s="39">
        <f t="shared" si="18"/>
        <v>1.5707963267948966</v>
      </c>
      <c r="AW13" s="39" t="str">
        <f t="shared" si="19"/>
        <v>1+i</v>
      </c>
      <c r="AX13" s="39">
        <f t="shared" si="20"/>
        <v>1.4142135623730951</v>
      </c>
      <c r="AY13" s="39">
        <f t="shared" si="21"/>
        <v>0.78539816339744828</v>
      </c>
      <c r="AZ13" s="39" t="str">
        <f t="shared" si="22"/>
        <v>1+46,4545454545455i</v>
      </c>
      <c r="BA13" s="39">
        <f t="shared" si="23"/>
        <v>46.465307417345628</v>
      </c>
      <c r="BB13" s="39">
        <f t="shared" si="24"/>
        <v>1.5492732321028111</v>
      </c>
      <c r="BC13" s="44" t="str">
        <f t="shared" si="25"/>
        <v>-1,7552526734094+1,8324837910394i</v>
      </c>
      <c r="BD13" s="39">
        <f t="shared" si="26"/>
        <v>8.0881227329203718</v>
      </c>
      <c r="BE13" s="45">
        <f t="shared" si="27"/>
        <v>133.76681751208329</v>
      </c>
      <c r="BF13" s="44" t="str">
        <f t="shared" si="28"/>
        <v>0,153495406558194+0,57391073826287i</v>
      </c>
      <c r="BG13" s="46">
        <f t="shared" si="29"/>
        <v>-4.5230603988836426</v>
      </c>
      <c r="BH13" s="45">
        <f t="shared" si="30"/>
        <v>75.026411394425651</v>
      </c>
      <c r="BI13" s="61" t="str">
        <f t="shared" si="47"/>
        <v>-0,251020859779931+1,64861867707896i</v>
      </c>
      <c r="BJ13" s="46">
        <f t="shared" si="31"/>
        <v>4.441939636464066</v>
      </c>
      <c r="BK13" s="45">
        <f t="shared" si="32"/>
        <v>98.657436561154555</v>
      </c>
      <c r="BL13" s="44">
        <f t="shared" si="48"/>
        <v>-4.5230603988836426</v>
      </c>
      <c r="BM13" s="45">
        <f t="shared" si="49"/>
        <v>75.026411394425651</v>
      </c>
    </row>
    <row r="15" spans="1:65" ht="15.75" thickBot="1" x14ac:dyDescent="0.3">
      <c r="A15" s="49" t="s">
        <v>456</v>
      </c>
      <c r="O15" s="34" t="s">
        <v>196</v>
      </c>
      <c r="P15">
        <f>B16</f>
        <v>11</v>
      </c>
      <c r="Q15" t="s">
        <v>10</v>
      </c>
    </row>
    <row r="16" spans="1:65" ht="15.75" thickBot="1" x14ac:dyDescent="0.3">
      <c r="A16" t="s">
        <v>198</v>
      </c>
      <c r="B16">
        <f>VIN_var</f>
        <v>11</v>
      </c>
      <c r="C16" t="s">
        <v>10</v>
      </c>
      <c r="E16" t="s">
        <v>199</v>
      </c>
      <c r="O16" s="48"/>
      <c r="P16" s="224" t="s">
        <v>454</v>
      </c>
      <c r="Q16" s="224"/>
      <c r="R16" s="224"/>
      <c r="S16" s="224"/>
      <c r="T16" s="224"/>
      <c r="U16" s="224"/>
      <c r="V16" s="224"/>
      <c r="W16" s="224"/>
      <c r="X16" s="224"/>
      <c r="Y16" s="224"/>
      <c r="Z16" s="224"/>
      <c r="AA16" s="224"/>
      <c r="AB16" s="224"/>
      <c r="AC16" s="224"/>
      <c r="AD16" s="224"/>
      <c r="AE16" s="225"/>
      <c r="AF16" s="223" t="s">
        <v>455</v>
      </c>
      <c r="AG16" s="224"/>
      <c r="AH16" s="224"/>
      <c r="AI16" s="224"/>
      <c r="AJ16" s="224"/>
      <c r="AK16" s="224"/>
      <c r="AL16" s="224"/>
      <c r="AM16" s="224"/>
      <c r="AN16" s="224"/>
      <c r="AO16" s="224"/>
      <c r="AP16" s="224"/>
      <c r="AQ16" s="224"/>
      <c r="AR16" s="225"/>
      <c r="AS16" s="223" t="s">
        <v>225</v>
      </c>
      <c r="AT16" s="224"/>
      <c r="AU16" s="224"/>
      <c r="AV16" s="224"/>
      <c r="AW16" s="224"/>
      <c r="AX16" s="224"/>
      <c r="AY16" s="224"/>
      <c r="AZ16" s="224"/>
      <c r="BA16" s="224"/>
      <c r="BB16" s="224"/>
      <c r="BC16" s="224"/>
      <c r="BD16" s="224"/>
      <c r="BE16" s="225"/>
      <c r="BF16" s="223" t="s">
        <v>484</v>
      </c>
      <c r="BG16" s="224"/>
      <c r="BH16" s="225"/>
      <c r="BI16" s="223" t="s">
        <v>485</v>
      </c>
      <c r="BJ16" s="224"/>
      <c r="BK16" s="225"/>
      <c r="BL16" s="223" t="s">
        <v>486</v>
      </c>
      <c r="BM16" s="225"/>
    </row>
    <row r="17" spans="1:65" x14ac:dyDescent="0.25">
      <c r="A17" t="s">
        <v>382</v>
      </c>
      <c r="B17">
        <f>IOUT</f>
        <v>6</v>
      </c>
      <c r="C17" t="s">
        <v>11</v>
      </c>
      <c r="E17" t="s">
        <v>477</v>
      </c>
      <c r="O17" s="36"/>
      <c r="Q17" s="229" t="s">
        <v>217</v>
      </c>
      <c r="R17" s="229"/>
      <c r="S17" s="229"/>
      <c r="T17" s="227" t="s">
        <v>219</v>
      </c>
      <c r="U17" s="227"/>
      <c r="V17" s="227"/>
      <c r="W17" s="227" t="s">
        <v>258</v>
      </c>
      <c r="X17" s="227"/>
      <c r="Y17" s="227"/>
      <c r="Z17" s="227" t="s">
        <v>222</v>
      </c>
      <c r="AA17" s="227"/>
      <c r="AB17" s="227"/>
      <c r="AC17" s="226" t="s">
        <v>224</v>
      </c>
      <c r="AD17" s="227"/>
      <c r="AE17" s="228"/>
      <c r="AF17" s="153"/>
      <c r="AG17" s="229" t="s">
        <v>217</v>
      </c>
      <c r="AH17" s="229"/>
      <c r="AI17" s="229"/>
      <c r="AJ17" s="230" t="s">
        <v>219</v>
      </c>
      <c r="AK17" s="230"/>
      <c r="AL17" s="230"/>
      <c r="AM17" s="227" t="s">
        <v>258</v>
      </c>
      <c r="AN17" s="227"/>
      <c r="AO17" s="227"/>
      <c r="AP17" s="231" t="s">
        <v>224</v>
      </c>
      <c r="AQ17" s="230"/>
      <c r="AR17" s="232"/>
      <c r="AT17" s="227" t="s">
        <v>231</v>
      </c>
      <c r="AU17" s="227"/>
      <c r="AV17" s="227"/>
      <c r="AW17" s="227" t="s">
        <v>232</v>
      </c>
      <c r="AX17" s="227"/>
      <c r="AY17" s="227"/>
      <c r="AZ17" s="227" t="s">
        <v>226</v>
      </c>
      <c r="BA17" s="227"/>
      <c r="BB17" s="227"/>
      <c r="BC17" s="226" t="s">
        <v>224</v>
      </c>
      <c r="BD17" s="227"/>
      <c r="BE17" s="228"/>
      <c r="BF17" s="226" t="s">
        <v>224</v>
      </c>
      <c r="BG17" s="227"/>
      <c r="BH17" s="228"/>
      <c r="BI17" s="226" t="s">
        <v>224</v>
      </c>
      <c r="BJ17" s="227"/>
      <c r="BK17" s="228"/>
      <c r="BM17" s="43"/>
    </row>
    <row r="18" spans="1:65" ht="15.75" thickBot="1" x14ac:dyDescent="0.3">
      <c r="N18" s="9"/>
      <c r="O18" s="37" t="s">
        <v>195</v>
      </c>
      <c r="P18" s="38" t="s">
        <v>200</v>
      </c>
      <c r="Q18" s="39" t="s">
        <v>223</v>
      </c>
      <c r="R18" s="38" t="s">
        <v>220</v>
      </c>
      <c r="S18" s="38" t="s">
        <v>221</v>
      </c>
      <c r="T18" s="38" t="s">
        <v>223</v>
      </c>
      <c r="U18" s="38" t="s">
        <v>220</v>
      </c>
      <c r="V18" s="38" t="s">
        <v>221</v>
      </c>
      <c r="W18" s="38" t="s">
        <v>223</v>
      </c>
      <c r="X18" s="38" t="s">
        <v>220</v>
      </c>
      <c r="Y18" s="38" t="s">
        <v>221</v>
      </c>
      <c r="Z18" s="38" t="s">
        <v>223</v>
      </c>
      <c r="AA18" s="38" t="s">
        <v>220</v>
      </c>
      <c r="AB18" s="38" t="s">
        <v>221</v>
      </c>
      <c r="AC18" s="42" t="s">
        <v>235</v>
      </c>
      <c r="AD18" s="38" t="s">
        <v>220</v>
      </c>
      <c r="AE18" s="40" t="s">
        <v>221</v>
      </c>
      <c r="AF18" s="156" t="s">
        <v>200</v>
      </c>
      <c r="AG18" s="156" t="s">
        <v>223</v>
      </c>
      <c r="AH18" s="156" t="s">
        <v>234</v>
      </c>
      <c r="AI18" s="156" t="s">
        <v>221</v>
      </c>
      <c r="AJ18" s="156" t="s">
        <v>223</v>
      </c>
      <c r="AK18" s="156" t="s">
        <v>234</v>
      </c>
      <c r="AL18" s="156" t="s">
        <v>221</v>
      </c>
      <c r="AM18" s="156" t="s">
        <v>223</v>
      </c>
      <c r="AN18" s="156" t="s">
        <v>234</v>
      </c>
      <c r="AO18" s="156" t="s">
        <v>221</v>
      </c>
      <c r="AP18" s="42" t="s">
        <v>235</v>
      </c>
      <c r="AQ18" s="38" t="s">
        <v>220</v>
      </c>
      <c r="AR18" s="40" t="s">
        <v>221</v>
      </c>
      <c r="AS18" s="38" t="s">
        <v>233</v>
      </c>
      <c r="AT18" s="38" t="s">
        <v>223</v>
      </c>
      <c r="AU18" s="38" t="s">
        <v>234</v>
      </c>
      <c r="AV18" s="38" t="s">
        <v>221</v>
      </c>
      <c r="AW18" s="38" t="s">
        <v>223</v>
      </c>
      <c r="AX18" s="38" t="s">
        <v>234</v>
      </c>
      <c r="AY18" s="38" t="s">
        <v>221</v>
      </c>
      <c r="AZ18" s="38" t="s">
        <v>223</v>
      </c>
      <c r="BA18" s="38" t="s">
        <v>234</v>
      </c>
      <c r="BB18" s="38" t="s">
        <v>221</v>
      </c>
      <c r="BC18" s="42" t="s">
        <v>235</v>
      </c>
      <c r="BD18" s="38" t="s">
        <v>220</v>
      </c>
      <c r="BE18" s="40" t="s">
        <v>221</v>
      </c>
      <c r="BF18" s="42" t="s">
        <v>235</v>
      </c>
      <c r="BG18" s="38" t="s">
        <v>220</v>
      </c>
      <c r="BH18" s="40" t="s">
        <v>221</v>
      </c>
      <c r="BI18" s="42" t="s">
        <v>235</v>
      </c>
      <c r="BJ18" s="38" t="s">
        <v>220</v>
      </c>
      <c r="BK18" s="40" t="s">
        <v>221</v>
      </c>
      <c r="BL18" s="4" t="s">
        <v>487</v>
      </c>
      <c r="BM18" s="60" t="s">
        <v>488</v>
      </c>
    </row>
    <row r="19" spans="1:65" x14ac:dyDescent="0.25">
      <c r="A19" t="s">
        <v>31</v>
      </c>
      <c r="B19" s="29">
        <f>VOUT</f>
        <v>53.5</v>
      </c>
      <c r="C19" t="s">
        <v>10</v>
      </c>
      <c r="E19" t="s">
        <v>173</v>
      </c>
      <c r="N19" s="9">
        <v>1</v>
      </c>
      <c r="O19" s="34">
        <f>10^(1+(N19/100))</f>
        <v>10.232929922807543</v>
      </c>
      <c r="P19" s="33" t="str">
        <f t="shared" ref="P19:P82" si="50">COMPLEX(Adc,0)</f>
        <v>54,631621870174</v>
      </c>
      <c r="Q19" s="4" t="str">
        <f>IMSUM(COMPLEX(1,0),IMDIV(COMPLEX(0,2*PI()*O19),COMPLEX(wp_lf,0)))</f>
        <v>1+0,287008223626689i</v>
      </c>
      <c r="R19" s="4">
        <f>IMABS(Q19)</f>
        <v>1.0403719144754666</v>
      </c>
      <c r="S19" s="4">
        <f>IMARGUMENT(Q19)</f>
        <v>0.27949553191245491</v>
      </c>
      <c r="T19" s="4" t="str">
        <f t="shared" ref="T19:T82" si="51">IMSUM(COMPLEX(1,0),IMDIV(COMPLEX(0,2*PI()*O19),COMPLEX(wz_esr,0)))</f>
        <v>1+0,000972146371498587i</v>
      </c>
      <c r="U19" s="4">
        <f>IMABS(T19)</f>
        <v>1.0000004725341722</v>
      </c>
      <c r="V19" s="4">
        <f>IMARGUMENT(T19)</f>
        <v>9.7214606525043441E-4</v>
      </c>
      <c r="W19" t="str">
        <f t="shared" ref="W19:W82" si="52">IMSUB(COMPLEX(1,0),IMDIV(COMPLEX(0,2*PI()*O19),COMPLEX(wz_rhp,0)))</f>
        <v>1-0,000255853162510696i</v>
      </c>
      <c r="X19" s="4">
        <f>IMABS(W19)</f>
        <v>1.0000000327304199</v>
      </c>
      <c r="Y19" s="4">
        <f>IMARGUMENT(W19)</f>
        <v>-2.558531569279085E-4</v>
      </c>
      <c r="Z19" t="str">
        <f t="shared" ref="Z19:Z82" si="53">IMSUM(COMPLEX(1,0),IMDIV(COMPLEX(0,2*PI()*O19),COMPLEX(Q*(wsl/2),0)),IMDIV(IMPOWER(COMPLEX(0,2*PI()*O19),2),IMPOWER(COMPLEX(wsl/2,0),2)))</f>
        <v>0,999999999581149+0,0000351521551776859i</v>
      </c>
      <c r="AA19" s="4">
        <f>IMABS(Z19)</f>
        <v>1.0000000001989859</v>
      </c>
      <c r="AB19" s="4">
        <f>IMARGUMENT(Z19)</f>
        <v>3.5152155177930542E-5</v>
      </c>
      <c r="AC19" s="47" t="str">
        <f>(IMDIV(IMPRODUCT(P19,T19,W19),IMPRODUCT(Q19,Z19)))</f>
        <v>50,483780104984-14,4520482099087i</v>
      </c>
      <c r="AD19" s="20">
        <f>20*LOG(IMABS(AC19))</f>
        <v>34.405113870106831</v>
      </c>
      <c r="AE19" s="43">
        <f>(180/PI())*IMARGUMENT(AC19)</f>
        <v>-15.974887880938144</v>
      </c>
      <c r="AF19" t="str">
        <f t="shared" ref="AF19:AF82" si="54">COMPLEX($B$72,0)</f>
        <v>171,265703090588</v>
      </c>
      <c r="AG19" t="str">
        <f t="shared" ref="AG19:AG82" si="55">IMSUM(COMPLEX(1,0),IMDIV(COMPLEX(0,2*PI()*O19),COMPLEX(wp_lf_DCM,0)))</f>
        <v>1+0,284261549922185i</v>
      </c>
      <c r="AH19">
        <f>IMABS(AG19)</f>
        <v>1.0396175396578122</v>
      </c>
      <c r="AI19">
        <f>IMARGUMENT(AG19)</f>
        <v>0.27695604885936209</v>
      </c>
      <c r="AJ19" t="str">
        <f t="shared" ref="AJ19:AJ82" si="56">IMSUM(COMPLEX(1,0),IMDIV(COMPLEX(0,2*PI()*O19),COMPLEX(wz1_dcm,0)))</f>
        <v>1+0,000972146371498587i</v>
      </c>
      <c r="AK19">
        <f>IMABS(AJ19)</f>
        <v>1.0000004725341722</v>
      </c>
      <c r="AL19">
        <f>IMARGUMENT(AJ19)</f>
        <v>9.7214606525043441E-4</v>
      </c>
      <c r="AM19" t="str">
        <f t="shared" ref="AM19:AM82" si="57">IMSUB(COMPLEX(1,0),IMDIV(COMPLEX(0,2*PI()*O19),COMPLEX(wz2_dcm,0)))</f>
        <v>1-0,000080832852552554i</v>
      </c>
      <c r="AN19">
        <f>IMABS(AM19)</f>
        <v>1.0000000032669749</v>
      </c>
      <c r="AO19">
        <f>IMARGUMENT(AM19)</f>
        <v>-8.08328523765014E-5</v>
      </c>
      <c r="AP19" s="41" t="str">
        <f>(IMDIV(IMPRODUCT(AF19,AJ19,AM19),IMPRODUCT(AG19)))</f>
        <v>158,50145800976-44,9032186822841i</v>
      </c>
      <c r="AQ19">
        <f>20*LOG(IMABS(AP19))</f>
        <v>44.335940208785985</v>
      </c>
      <c r="AR19" s="43">
        <f>(180/PI())*IMARGUMENT(AP19)</f>
        <v>-15.817344224938559</v>
      </c>
      <c r="AS19" t="str">
        <f t="shared" ref="AS19:AS82" si="58">COMPLEX(Adc_ea,0)</f>
        <v>-0,0000166666666666667</v>
      </c>
      <c r="AT19" t="str">
        <f t="shared" ref="AT19:AT82" si="59">COMPLEX(0,2*PI()*O19*wp0_ea)</f>
        <v>9,85648404436067E-08i</v>
      </c>
      <c r="AU19">
        <f>IMABS(AT19)</f>
        <v>9.8564840443606704E-8</v>
      </c>
      <c r="AV19">
        <f>IMARGUMENT(AT19)</f>
        <v>1.5707963267948966</v>
      </c>
      <c r="AW19" t="str">
        <f t="shared" ref="AW19:AW82" si="60">IMSUM(COMPLEX(1,0),IMDIV(COMPLEX(0,2*PI()*O19),COMPLEX(wp1_ea,0)))</f>
        <v>1+0,00045673636718902i</v>
      </c>
      <c r="AX19">
        <f>IMABS(AW19)</f>
        <v>1.0000001043040492</v>
      </c>
      <c r="AY19">
        <f>IMARGUMENT(AW19)</f>
        <v>4.567363354293873E-4</v>
      </c>
      <c r="AZ19" t="str">
        <f t="shared" ref="AZ19:AZ82" si="61">IMSUM(COMPLEX(1,0),IMDIV(COMPLEX(0,2*PI()*O19),COMPLEX(wz_ea,0)))</f>
        <v>1+0,0212174803303263i</v>
      </c>
      <c r="BA19">
        <f>IMABS(AZ19)</f>
        <v>1.0002250654085649</v>
      </c>
      <c r="BB19">
        <f>IMARGUMENT(AZ19)</f>
        <v>2.1214297284544995E-2</v>
      </c>
      <c r="BC19" s="41" t="str">
        <f>IMPRODUCT(AS19,IMDIV(AZ19,IMPRODUCT(AT19,AW19)))</f>
        <v>-3,51050461449906+169,095030520704i</v>
      </c>
      <c r="BD19">
        <f>20*LOG(IMABS(BC19))</f>
        <v>44.564488295447617</v>
      </c>
      <c r="BE19" s="43">
        <f>(180/PI())*IMARGUMENT(BC19)</f>
        <v>91.189320635369896</v>
      </c>
      <c r="BF19" s="41" t="str">
        <f>IMPRODUCT(AC19,BC19)</f>
        <v>2266,5459901253+8587,29031958263i</v>
      </c>
      <c r="BG19" s="20">
        <f>20*LOG(IMABS(BF19))</f>
        <v>78.969602165554448</v>
      </c>
      <c r="BH19" s="43">
        <f>(180/PI())*IMARGUMENT(BF19)</f>
        <v>75.214432754431726</v>
      </c>
      <c r="BI19" s="41" t="str">
        <f>IMPRODUCT(AP19,BC19)</f>
        <v>7036,49103381058+26959,4418361265i</v>
      </c>
      <c r="BJ19" s="20">
        <f>20*LOG(IMABS(BI19))</f>
        <v>88.900428504233616</v>
      </c>
      <c r="BK19" s="43">
        <f>(180/PI())*IMARGUMENT(BI19)</f>
        <v>75.371976410431373</v>
      </c>
      <c r="BL19">
        <f>IF($B$31=0,BJ19,BG19)</f>
        <v>78.969602165554448</v>
      </c>
      <c r="BM19" s="43">
        <f>IF($B$31=0,BK19,BH19)</f>
        <v>75.214432754431726</v>
      </c>
    </row>
    <row r="20" spans="1:65" x14ac:dyDescent="0.25">
      <c r="A20" t="s">
        <v>33</v>
      </c>
      <c r="B20" s="29">
        <f>IOUT</f>
        <v>6</v>
      </c>
      <c r="C20" t="s">
        <v>11</v>
      </c>
      <c r="E20" t="s">
        <v>34</v>
      </c>
      <c r="N20" s="9">
        <v>2</v>
      </c>
      <c r="O20" s="34">
        <f t="shared" ref="O20:O83" si="62">10^(1+(N20/100))</f>
        <v>10.471285480509</v>
      </c>
      <c r="P20" s="33" t="str">
        <f t="shared" si="50"/>
        <v>54,631621870174</v>
      </c>
      <c r="Q20" s="4" t="str">
        <f t="shared" ref="Q20:Q82" si="63">IMSUM(COMPLEX(1,0),IMDIV(COMPLEX(0,2*PI()*O20),COMPLEX(wp_lf,0)))</f>
        <v>1+0,293693503964139i</v>
      </c>
      <c r="R20" s="4">
        <f t="shared" ref="R20:R83" si="64">IMABS(Q20)</f>
        <v>1.0422359973972948</v>
      </c>
      <c r="S20" s="4">
        <f t="shared" ref="S20:S83" si="65">IMARGUMENT(Q20)</f>
        <v>0.28566102317092046</v>
      </c>
      <c r="T20" s="4" t="str">
        <f t="shared" si="51"/>
        <v>1+0,000994790569425667i</v>
      </c>
      <c r="U20" s="4">
        <f t="shared" ref="U20:U83" si="66">IMABS(T20)</f>
        <v>1.0000004948040162</v>
      </c>
      <c r="V20" s="4">
        <f t="shared" ref="V20:V83" si="67">IMARGUMENT(T20)</f>
        <v>9.9479024127486809E-4</v>
      </c>
      <c r="W20" t="str">
        <f t="shared" si="52"/>
        <v>1-0,000261812748250064i</v>
      </c>
      <c r="X20" s="4">
        <f t="shared" ref="X20:X83" si="68">IMABS(W20)</f>
        <v>1.0000000342729569</v>
      </c>
      <c r="Y20" s="4">
        <f t="shared" ref="Y20:Y83" si="69">IMARGUMENT(W20)</f>
        <v>-2.6181274226799945E-4</v>
      </c>
      <c r="Z20" t="str">
        <f t="shared" si="53"/>
        <v>0,999999999561409+0,0000359709540568916i</v>
      </c>
      <c r="AA20" s="4">
        <f t="shared" ref="AA20:AA83" si="70">IMABS(Z20)</f>
        <v>1.0000000002083635</v>
      </c>
      <c r="AB20" s="4">
        <f t="shared" ref="AB20:AB83" si="71">IMARGUMENT(Z20)</f>
        <v>3.5970954057153751E-5</v>
      </c>
      <c r="AC20" s="47" t="str">
        <f t="shared" ref="AC20:AC83" si="72">(IMDIV(IMPRODUCT(P20,T20,W20),IMPRODUCT(Q20,Z20)))</f>
        <v>50,3038208848999-14,7358268034106i</v>
      </c>
      <c r="AD20" s="20">
        <f t="shared" ref="AD20:AD83" si="73">20*LOG(IMABS(AC20))</f>
        <v>34.389565088718818</v>
      </c>
      <c r="AE20" s="43">
        <f t="shared" ref="AE20:AE83" si="74">(180/PI())*IMARGUMENT(AC20)</f>
        <v>-16.327235465763948</v>
      </c>
      <c r="AF20" t="str">
        <f t="shared" si="54"/>
        <v>171,265703090588</v>
      </c>
      <c r="AG20" t="str">
        <f t="shared" si="55"/>
        <v>1+0,290882852010238i</v>
      </c>
      <c r="AH20">
        <f t="shared" ref="AH20:AH83" si="75">IMABS(AG20)</f>
        <v>1.0414474703957037</v>
      </c>
      <c r="AI20">
        <f t="shared" ref="AI20:AI83" si="76">IMARGUMENT(AG20)</f>
        <v>0.28307159352027933</v>
      </c>
      <c r="AJ20" t="str">
        <f t="shared" si="56"/>
        <v>1+0,000994790569425667i</v>
      </c>
      <c r="AK20">
        <f t="shared" ref="AK20:AK83" si="77">IMABS(AJ20)</f>
        <v>1.0000004948040162</v>
      </c>
      <c r="AL20">
        <f t="shared" ref="AL20:AL83" si="78">IMARGUMENT(AJ20)</f>
        <v>9.9479024127486809E-4</v>
      </c>
      <c r="AM20" t="str">
        <f t="shared" si="57"/>
        <v>1-0,000082715691563092i</v>
      </c>
      <c r="AN20">
        <f t="shared" ref="AN20:AN83" si="79">IMABS(AM20)</f>
        <v>1.0000000034209429</v>
      </c>
      <c r="AO20">
        <f t="shared" ref="AO20:AO83" si="80">IMARGUMENT(AM20)</f>
        <v>-8.2715691374448235E-5</v>
      </c>
      <c r="AP20" s="41" t="str">
        <f t="shared" ref="AP20:AP83" si="81">(IMDIV(IMPRODUCT(AF20,AJ20,AM20),IMPRODUCT(AG20)))</f>
        <v>157,946826606743-45,7878162441076i</v>
      </c>
      <c r="AQ20">
        <f t="shared" ref="AQ20:AQ83" si="82">20*LOG(IMABS(AP20))</f>
        <v>44.320664974433086</v>
      </c>
      <c r="AR20" s="43">
        <f t="shared" ref="AR20:AR83" si="83">(180/PI())*IMARGUMENT(AP20)</f>
        <v>-16.166549586444212</v>
      </c>
      <c r="AS20" t="str">
        <f t="shared" si="58"/>
        <v>-0,0000166666666666667</v>
      </c>
      <c r="AT20" t="str">
        <f t="shared" si="59"/>
        <v>1,00860710511213E-07i</v>
      </c>
      <c r="AU20">
        <f t="shared" ref="AU20:AU83" si="84">IMABS(AT20)</f>
        <v>1.00860710511213E-7</v>
      </c>
      <c r="AV20">
        <f t="shared" ref="AV20:AV83" si="85">IMARGUMENT(AT20)</f>
        <v>1.5707963267948966</v>
      </c>
      <c r="AW20" t="str">
        <f t="shared" si="60"/>
        <v>1+0,000467375123864294i</v>
      </c>
      <c r="AX20">
        <f t="shared" ref="AX20:AX83" si="86">IMABS(AW20)</f>
        <v>1.0000001092197472</v>
      </c>
      <c r="AY20">
        <f t="shared" ref="AY20:AY83" si="87">IMARGUMENT(AW20)</f>
        <v>4.6737508983323467E-4</v>
      </c>
      <c r="AZ20" t="str">
        <f t="shared" si="61"/>
        <v>1+0,0217116989358776i</v>
      </c>
      <c r="BA20">
        <f t="shared" ref="BA20:BA83" si="88">IMABS(AZ20)</f>
        <v>1.0002356711648921</v>
      </c>
      <c r="BB20">
        <f t="shared" ref="BB20:BB83" si="89">IMARGUMENT(AZ20)</f>
        <v>2.1708288284274228E-2</v>
      </c>
      <c r="BC20" s="41" t="str">
        <f t="shared" ref="BC20:BC83" si="90">IMPRODUCT(AS20,IMDIV(AZ20,IMPRODUCT(AT20,AW20)))</f>
        <v>-3,51050457998591+165,246031548154i</v>
      </c>
      <c r="BD20">
        <f t="shared" ref="BD20:BD83" si="91">20*LOG(IMABS(BC20))</f>
        <v>44.364580351962736</v>
      </c>
      <c r="BE20" s="43">
        <f t="shared" ref="BE20:BE83" si="92">(180/PI())*IMARGUMENT(BC20)</f>
        <v>91.217014679045207</v>
      </c>
      <c r="BF20" s="41" t="str">
        <f t="shared" ref="BF20:BF83" si="93">IMPRODUCT(AC20,BC20)</f>
        <v>2258,44510723729+8364,23696042211i</v>
      </c>
      <c r="BG20" s="20">
        <f t="shared" ref="BG20:BG83" si="94">20*LOG(IMABS(BF20))</f>
        <v>78.754145440681555</v>
      </c>
      <c r="BH20" s="43">
        <f t="shared" ref="BH20:BH83" si="95">(180/PI())*IMARGUMENT(BF20)</f>
        <v>74.889779213281273</v>
      </c>
      <c r="BI20" s="41" t="str">
        <f t="shared" ref="BI20:BI49" si="96">IMPRODUCT(AP20,BC20)</f>
        <v>7011,78186939767+26260,8246310212i</v>
      </c>
      <c r="BJ20" s="20">
        <f t="shared" ref="BJ20:BJ83" si="97">20*LOG(IMABS(BI20))</f>
        <v>88.68524532639583</v>
      </c>
      <c r="BK20" s="43">
        <f t="shared" ref="BK20:BK49" si="98">(180/PI())*IMARGUMENT(BI20)</f>
        <v>75.05046509260103</v>
      </c>
      <c r="BL20">
        <f t="shared" ref="BL20:BL83" si="99">IF($B$31=0,BJ20,BG20)</f>
        <v>78.754145440681555</v>
      </c>
      <c r="BM20" s="43">
        <f t="shared" ref="BM20:BM83" si="100">IF($B$31=0,BK20,BH20)</f>
        <v>74.889779213281273</v>
      </c>
    </row>
    <row r="21" spans="1:65" x14ac:dyDescent="0.25">
      <c r="N21" s="9">
        <v>3</v>
      </c>
      <c r="O21" s="34">
        <f t="shared" si="62"/>
        <v>10.715193052376069</v>
      </c>
      <c r="P21" s="33" t="str">
        <f t="shared" si="50"/>
        <v>54,631621870174</v>
      </c>
      <c r="Q21" s="4" t="str">
        <f t="shared" si="63"/>
        <v>1+0,300534504484883i</v>
      </c>
      <c r="R21" s="4">
        <f t="shared" si="64"/>
        <v>1.0441843651319311</v>
      </c>
      <c r="S21" s="4">
        <f t="shared" si="65"/>
        <v>0.29194709339709757</v>
      </c>
      <c r="T21" s="4" t="str">
        <f t="shared" si="51"/>
        <v>1+0,00101796221848027i</v>
      </c>
      <c r="U21" s="4">
        <f t="shared" si="66"/>
        <v>1.0000005181234048</v>
      </c>
      <c r="V21" s="4">
        <f t="shared" si="67"/>
        <v>1.0179618668603636E-3</v>
      </c>
      <c r="W21" t="str">
        <f t="shared" si="52"/>
        <v>1-0,000267911150574056i</v>
      </c>
      <c r="X21" s="4">
        <f t="shared" si="68"/>
        <v>1.0000000358881918</v>
      </c>
      <c r="Y21" s="4">
        <f t="shared" si="69"/>
        <v>-2.6791114416415833E-4</v>
      </c>
      <c r="Z21" t="str">
        <f t="shared" si="53"/>
        <v>0,999999999540739+0,0000368088252120701i</v>
      </c>
      <c r="AA21" s="4">
        <f t="shared" si="70"/>
        <v>1.0000000002181837</v>
      </c>
      <c r="AB21" s="4">
        <f t="shared" si="71"/>
        <v>3.6808825212350991E-5</v>
      </c>
      <c r="AC21" s="47" t="str">
        <f t="shared" si="72"/>
        <v>50,1167539762835-15,0228482427327i</v>
      </c>
      <c r="AD21" s="20">
        <f t="shared" si="73"/>
        <v>34.37334296350199</v>
      </c>
      <c r="AE21" s="43">
        <f t="shared" si="74"/>
        <v>-16.686470542267628</v>
      </c>
      <c r="AF21" t="str">
        <f t="shared" si="54"/>
        <v>171,265703090588</v>
      </c>
      <c r="AG21" t="str">
        <f t="shared" si="55"/>
        <v>1+0,297658384036716i</v>
      </c>
      <c r="AH21">
        <f t="shared" si="75"/>
        <v>1.0433602031836124</v>
      </c>
      <c r="AI21">
        <f t="shared" si="76"/>
        <v>0.28930714084907699</v>
      </c>
      <c r="AJ21" t="str">
        <f t="shared" si="56"/>
        <v>1+0,00101796221848027i</v>
      </c>
      <c r="AK21">
        <f t="shared" si="77"/>
        <v>1.0000005181234048</v>
      </c>
      <c r="AL21">
        <f t="shared" si="78"/>
        <v>1.0179618668603636E-3</v>
      </c>
      <c r="AM21" t="str">
        <f t="shared" si="57"/>
        <v>1-0,0000846423875281683i</v>
      </c>
      <c r="AN21">
        <f t="shared" si="79"/>
        <v>1.0000000035821668</v>
      </c>
      <c r="AO21">
        <f t="shared" si="80"/>
        <v>-8.4642387326032853E-5</v>
      </c>
      <c r="AP21" s="41" t="str">
        <f t="shared" si="81"/>
        <v>157,370215349888-46,6827183195013i</v>
      </c>
      <c r="AQ21">
        <f t="shared" si="82"/>
        <v>44.304727218469566</v>
      </c>
      <c r="AR21" s="43">
        <f t="shared" si="83"/>
        <v>-16.522602886534312</v>
      </c>
      <c r="AS21" t="str">
        <f t="shared" si="58"/>
        <v>-0,0000166666666666667</v>
      </c>
      <c r="AT21" t="str">
        <f t="shared" si="59"/>
        <v>1,03210058262582E-07i</v>
      </c>
      <c r="AU21">
        <f t="shared" si="84"/>
        <v>1.0321005826258199E-7</v>
      </c>
      <c r="AV21">
        <f t="shared" si="85"/>
        <v>1.5707963267948966</v>
      </c>
      <c r="AW21" t="str">
        <f t="shared" si="60"/>
        <v>1+0,000478261689016681i</v>
      </c>
      <c r="AX21">
        <f t="shared" si="86"/>
        <v>1.0000001143671151</v>
      </c>
      <c r="AY21">
        <f t="shared" si="87"/>
        <v>4.782616525517442E-4</v>
      </c>
      <c r="AZ21" t="str">
        <f t="shared" si="61"/>
        <v>1+0,0222174293715931i</v>
      </c>
      <c r="BA21">
        <f t="shared" si="88"/>
        <v>1.0002467766345873</v>
      </c>
      <c r="BB21">
        <f t="shared" si="89"/>
        <v>2.2213774841251584E-2</v>
      </c>
      <c r="BC21" s="41" t="str">
        <f t="shared" si="90"/>
        <v>-3,51050454384621+161,484648208818i</v>
      </c>
      <c r="BD21">
        <f t="shared" si="91"/>
        <v>44.164676744874363</v>
      </c>
      <c r="BE21" s="43">
        <f t="shared" si="92"/>
        <v>91.245353171263432</v>
      </c>
      <c r="BF21" s="41" t="str">
        <f t="shared" si="93"/>
        <v>2250,02427101558+8145,82416224565i</v>
      </c>
      <c r="BG21" s="20">
        <f t="shared" si="94"/>
        <v>78.538019708376353</v>
      </c>
      <c r="BH21" s="43">
        <f t="shared" si="95"/>
        <v>74.558882628995846</v>
      </c>
      <c r="BI21" s="41" t="str">
        <f t="shared" si="96"/>
        <v>6986,09348920417+25576,7537591023i</v>
      </c>
      <c r="BJ21" s="20">
        <f t="shared" si="97"/>
        <v>88.469403963343922</v>
      </c>
      <c r="BK21" s="43">
        <f t="shared" si="98"/>
        <v>74.72275028472913</v>
      </c>
      <c r="BL21">
        <f t="shared" si="99"/>
        <v>78.538019708376353</v>
      </c>
      <c r="BM21" s="43">
        <f t="shared" si="100"/>
        <v>74.558882628995846</v>
      </c>
    </row>
    <row r="22" spans="1:65" x14ac:dyDescent="0.25">
      <c r="A22" t="s">
        <v>174</v>
      </c>
      <c r="N22" s="9">
        <v>4</v>
      </c>
      <c r="O22" s="34">
        <f t="shared" si="62"/>
        <v>10.964781961431854</v>
      </c>
      <c r="P22" s="33" t="str">
        <f t="shared" si="50"/>
        <v>54,631621870174</v>
      </c>
      <c r="Q22" s="4" t="str">
        <f t="shared" si="63"/>
        <v>1+0,30753485237795i</v>
      </c>
      <c r="R22" s="4">
        <f t="shared" si="64"/>
        <v>1.0462206676543564</v>
      </c>
      <c r="S22" s="4">
        <f t="shared" si="65"/>
        <v>0.29835508766352842</v>
      </c>
      <c r="T22" s="4" t="str">
        <f t="shared" si="51"/>
        <v>1+0,00104167360457743i</v>
      </c>
      <c r="U22" s="4">
        <f t="shared" si="66"/>
        <v>1.0000005425418022</v>
      </c>
      <c r="V22" s="4">
        <f t="shared" si="67"/>
        <v>1.0416732278099232E-3</v>
      </c>
      <c r="W22" t="str">
        <f t="shared" si="52"/>
        <v>1-0,000274151602936305i</v>
      </c>
      <c r="X22" s="4">
        <f t="shared" si="68"/>
        <v>1.0000000375795499</v>
      </c>
      <c r="Y22" s="4">
        <f t="shared" si="69"/>
        <v>-2.7415159606797594E-4</v>
      </c>
      <c r="Z22" t="str">
        <f t="shared" si="53"/>
        <v>0,999999999519094+0,0000376662128935985i</v>
      </c>
      <c r="AA22" s="4">
        <f t="shared" si="70"/>
        <v>1.0000000002284657</v>
      </c>
      <c r="AB22" s="4">
        <f t="shared" si="71"/>
        <v>3.7666212893899505E-5</v>
      </c>
      <c r="AC22" s="47" t="str">
        <f t="shared" si="72"/>
        <v>49,9223601280237-15,312992447486i</v>
      </c>
      <c r="AD22" s="20">
        <f t="shared" si="73"/>
        <v>34.356421010720311</v>
      </c>
      <c r="AE22" s="43">
        <f t="shared" si="74"/>
        <v>-17.052669684221076</v>
      </c>
      <c r="AF22" t="str">
        <f t="shared" si="54"/>
        <v>171,265703090588</v>
      </c>
      <c r="AG22" t="str">
        <f t="shared" si="55"/>
        <v>1+0,304591738478385i</v>
      </c>
      <c r="AH22">
        <f t="shared" si="75"/>
        <v>1.0453593292018228</v>
      </c>
      <c r="AI22">
        <f t="shared" si="76"/>
        <v>0.29566405667160095</v>
      </c>
      <c r="AJ22" t="str">
        <f t="shared" si="56"/>
        <v>1+0,00104167360457743i</v>
      </c>
      <c r="AK22">
        <f t="shared" si="77"/>
        <v>1.0000005425418022</v>
      </c>
      <c r="AL22">
        <f t="shared" si="78"/>
        <v>1.0416732278099232E-3</v>
      </c>
      <c r="AM22" t="str">
        <f t="shared" si="57"/>
        <v>1-0,0000866139620074865i</v>
      </c>
      <c r="AN22">
        <f t="shared" si="79"/>
        <v>1.0000000037509891</v>
      </c>
      <c r="AO22">
        <f t="shared" si="80"/>
        <v>-8.6613961790894464E-5</v>
      </c>
      <c r="AP22" s="41" t="str">
        <f t="shared" si="81"/>
        <v>156,770939665319-47,5875640943713i</v>
      </c>
      <c r="AQ22">
        <f t="shared" si="82"/>
        <v>44.288100792600147</v>
      </c>
      <c r="AR22" s="43">
        <f t="shared" si="83"/>
        <v>-16.885581735871764</v>
      </c>
      <c r="AS22" t="str">
        <f t="shared" si="58"/>
        <v>-0,0000166666666666667</v>
      </c>
      <c r="AT22" t="str">
        <f t="shared" si="59"/>
        <v>1,05614129352989E-07i</v>
      </c>
      <c r="AU22">
        <f t="shared" si="84"/>
        <v>1.05614129352989E-7</v>
      </c>
      <c r="AV22">
        <f t="shared" si="85"/>
        <v>1.5707963267948966</v>
      </c>
      <c r="AW22" t="str">
        <f t="shared" si="60"/>
        <v>1+0,000489401834847127i</v>
      </c>
      <c r="AX22">
        <f t="shared" si="86"/>
        <v>1.0000001197570707</v>
      </c>
      <c r="AY22">
        <f t="shared" si="87"/>
        <v>4.8940179577424347E-4</v>
      </c>
      <c r="AZ22" t="str">
        <f t="shared" si="61"/>
        <v>1+0,0227349397824438i</v>
      </c>
      <c r="BA22">
        <f t="shared" si="88"/>
        <v>1.0002584053567916</v>
      </c>
      <c r="BB22">
        <f t="shared" si="89"/>
        <v>2.2731023937266132E-2</v>
      </c>
      <c r="BC22" s="41" t="str">
        <f t="shared" si="90"/>
        <v>-3,51050450600326+157,808886167461i</v>
      </c>
      <c r="BD22">
        <f t="shared" si="91"/>
        <v>43.96477767834871</v>
      </c>
      <c r="BE22" s="43">
        <f t="shared" si="92"/>
        <v>91.274351078232201</v>
      </c>
      <c r="BF22" s="41" t="str">
        <f t="shared" si="93"/>
        <v>2241,27361184876+7931,94837564158i</v>
      </c>
      <c r="BG22" s="20">
        <f t="shared" si="94"/>
        <v>78.321198689069035</v>
      </c>
      <c r="BH22" s="43">
        <f t="shared" si="95"/>
        <v>74.221681394011171</v>
      </c>
      <c r="BI22" s="41" t="str">
        <f t="shared" si="96"/>
        <v>6959,39539504993+24906,9037301932i</v>
      </c>
      <c r="BJ22" s="20">
        <f t="shared" si="97"/>
        <v>88.252878470948858</v>
      </c>
      <c r="BK22" s="43">
        <f t="shared" si="98"/>
        <v>74.388769342360419</v>
      </c>
      <c r="BL22">
        <f t="shared" si="99"/>
        <v>78.321198689069035</v>
      </c>
      <c r="BM22" s="43">
        <f t="shared" si="100"/>
        <v>74.221681394011171</v>
      </c>
    </row>
    <row r="23" spans="1:65" x14ac:dyDescent="0.25">
      <c r="A23" t="s">
        <v>175</v>
      </c>
      <c r="B23" s="29">
        <f>Lm</f>
        <v>1.5E-6</v>
      </c>
      <c r="C23" t="s">
        <v>87</v>
      </c>
      <c r="E23" t="s">
        <v>176</v>
      </c>
      <c r="N23" s="9">
        <v>5</v>
      </c>
      <c r="O23" s="34">
        <f t="shared" si="62"/>
        <v>11.220184543019636</v>
      </c>
      <c r="P23" s="33" t="str">
        <f t="shared" si="50"/>
        <v>54,631621870174</v>
      </c>
      <c r="Q23" s="4" t="str">
        <f t="shared" si="63"/>
        <v>1+0,314698259320452i</v>
      </c>
      <c r="R23" s="4">
        <f t="shared" si="64"/>
        <v>1.0483486988685218</v>
      </c>
      <c r="S23" s="4">
        <f t="shared" si="65"/>
        <v>0.30488629777624032</v>
      </c>
      <c r="T23" s="4" t="str">
        <f t="shared" si="51"/>
        <v>1+0,00106593729980791i</v>
      </c>
      <c r="U23" s="4">
        <f t="shared" si="66"/>
        <v>1.0000005681110022</v>
      </c>
      <c r="V23" s="4">
        <f t="shared" si="67"/>
        <v>1.0659368960942654E-3</v>
      </c>
      <c r="W23" t="str">
        <f t="shared" si="52"/>
        <v>1-0,000280537414107257i</v>
      </c>
      <c r="X23" s="4">
        <f t="shared" si="68"/>
        <v>1.0000000393506197</v>
      </c>
      <c r="Y23" s="4">
        <f t="shared" si="69"/>
        <v>-2.8053740674770981E-4</v>
      </c>
      <c r="Z23" t="str">
        <f t="shared" si="53"/>
        <v>0,99999999949643+0,0000385435716997743i</v>
      </c>
      <c r="AA23" s="4">
        <f t="shared" si="70"/>
        <v>1.0000000002392333</v>
      </c>
      <c r="AB23" s="4">
        <f t="shared" si="71"/>
        <v>3.8543571700096823E-5</v>
      </c>
      <c r="AC23" s="47" t="str">
        <f t="shared" si="72"/>
        <v>49,7204187253972-15,6061272544995i</v>
      </c>
      <c r="AD23" s="20">
        <f t="shared" si="73"/>
        <v>34.338771939438814</v>
      </c>
      <c r="AE23" s="43">
        <f t="shared" si="74"/>
        <v>-17.425906401961949</v>
      </c>
      <c r="AF23" t="str">
        <f t="shared" si="54"/>
        <v>171,265703090588</v>
      </c>
      <c r="AG23" t="str">
        <f t="shared" si="55"/>
        <v>1+0,311686591491543i</v>
      </c>
      <c r="AH23">
        <f t="shared" si="75"/>
        <v>1.0474485817049044</v>
      </c>
      <c r="AI23">
        <f t="shared" si="76"/>
        <v>0.30214365566063262</v>
      </c>
      <c r="AJ23" t="str">
        <f t="shared" si="56"/>
        <v>1+0,00106593729980791i</v>
      </c>
      <c r="AK23">
        <f t="shared" si="77"/>
        <v>1.0000005681110022</v>
      </c>
      <c r="AL23">
        <f t="shared" si="78"/>
        <v>1.0659368960942654E-3</v>
      </c>
      <c r="AM23" t="str">
        <f t="shared" si="57"/>
        <v>1-0,0000886314603559324i</v>
      </c>
      <c r="AN23">
        <f t="shared" si="79"/>
        <v>1.0000000039277679</v>
      </c>
      <c r="AO23">
        <f t="shared" si="80"/>
        <v>-8.8631460123849868E-5</v>
      </c>
      <c r="AP23" s="41" t="str">
        <f t="shared" si="81"/>
        <v>156,148310062238-48,5019555587354i</v>
      </c>
      <c r="AQ23">
        <f t="shared" si="82"/>
        <v>44.270758743577936</v>
      </c>
      <c r="AR23" s="43">
        <f t="shared" si="83"/>
        <v>-17.255560799232015</v>
      </c>
      <c r="AS23" t="str">
        <f t="shared" si="58"/>
        <v>-0,0000166666666666667</v>
      </c>
      <c r="AT23" t="str">
        <f t="shared" si="59"/>
        <v>1,08074198452747E-07i</v>
      </c>
      <c r="AU23">
        <f t="shared" si="84"/>
        <v>1.0807419845274699E-7</v>
      </c>
      <c r="AV23">
        <f t="shared" si="85"/>
        <v>1.5707963267948966</v>
      </c>
      <c r="AW23" t="str">
        <f t="shared" si="60"/>
        <v>1+0,000500801468008408i</v>
      </c>
      <c r="AX23">
        <f t="shared" si="86"/>
        <v>1.0000001254010473</v>
      </c>
      <c r="AY23">
        <f t="shared" si="87"/>
        <v>5.0080142614105933E-4</v>
      </c>
      <c r="AZ23" t="str">
        <f t="shared" si="61"/>
        <v>1+0,0232645045592997i</v>
      </c>
      <c r="BA23">
        <f t="shared" si="88"/>
        <v>1.0002705819788911</v>
      </c>
      <c r="BB23">
        <f t="shared" si="89"/>
        <v>2.3260308716894725E-2</v>
      </c>
      <c r="BC23" s="41" t="str">
        <f t="shared" si="90"/>
        <v>-3,51050446637686+154,216796486397i</v>
      </c>
      <c r="BD23">
        <f t="shared" si="91"/>
        <v>43.764883366154749</v>
      </c>
      <c r="BE23" s="43">
        <f t="shared" si="92"/>
        <v>91.30402371155742</v>
      </c>
      <c r="BF23" s="41" t="str">
        <f t="shared" si="93"/>
        <v>2232,18319874233+7722,50907522279i</v>
      </c>
      <c r="BG23" s="20">
        <f t="shared" si="94"/>
        <v>78.103655305593563</v>
      </c>
      <c r="BH23" s="43">
        <f t="shared" si="95"/>
        <v>73.878117309595453</v>
      </c>
      <c r="BI23" s="41" t="str">
        <f t="shared" si="96"/>
        <v>6931,65686970308+24250,9584861799i</v>
      </c>
      <c r="BJ23" s="20">
        <f t="shared" si="97"/>
        <v>88.035642109732663</v>
      </c>
      <c r="BK23" s="43">
        <f t="shared" si="98"/>
        <v>74.048462912325391</v>
      </c>
      <c r="BL23">
        <f t="shared" si="99"/>
        <v>78.103655305593563</v>
      </c>
      <c r="BM23" s="43">
        <f t="shared" si="100"/>
        <v>73.878117309595453</v>
      </c>
    </row>
    <row r="24" spans="1:65" x14ac:dyDescent="0.25">
      <c r="N24" s="9">
        <v>6</v>
      </c>
      <c r="O24" s="34">
        <f t="shared" si="62"/>
        <v>11.481536214968834</v>
      </c>
      <c r="P24" s="33" t="str">
        <f t="shared" si="50"/>
        <v>54,631621870174</v>
      </c>
      <c r="Q24" s="4" t="str">
        <f t="shared" si="63"/>
        <v>1+0,32202852344557i</v>
      </c>
      <c r="R24" s="4">
        <f t="shared" si="64"/>
        <v>1.0505724010807318</v>
      </c>
      <c r="S24" s="4">
        <f t="shared" si="65"/>
        <v>0.31154195706528232</v>
      </c>
      <c r="T24" s="4" t="str">
        <f t="shared" si="51"/>
        <v>1+0,00109076616910411i</v>
      </c>
      <c r="U24" s="4">
        <f t="shared" si="66"/>
        <v>1.0000005948852408</v>
      </c>
      <c r="V24" s="4">
        <f t="shared" si="67"/>
        <v>1.09076573651716E-3</v>
      </c>
      <c r="W24" t="str">
        <f t="shared" si="52"/>
        <v>1-0,00028707196992852i</v>
      </c>
      <c r="X24" s="4">
        <f t="shared" si="68"/>
        <v>1.0000000412051571</v>
      </c>
      <c r="Y24" s="4">
        <f t="shared" si="69"/>
        <v>-2.8707196204262315E-4</v>
      </c>
      <c r="Z24" t="str">
        <f t="shared" si="53"/>
        <v>0,999999999472697+0,0000394413668178499i</v>
      </c>
      <c r="AA24" s="4">
        <f t="shared" si="70"/>
        <v>1.0000000002505076</v>
      </c>
      <c r="AB24" s="4">
        <f t="shared" si="71"/>
        <v>3.9441366818195513E-5</v>
      </c>
      <c r="AC24" s="47" t="str">
        <f t="shared" si="72"/>
        <v>49,510708318211-15,902107923426i</v>
      </c>
      <c r="AD24" s="20">
        <f t="shared" si="73"/>
        <v>34.3203676474742</v>
      </c>
      <c r="AE24" s="43">
        <f t="shared" si="74"/>
        <v>-17.806250843645159</v>
      </c>
      <c r="AF24" t="str">
        <f t="shared" si="54"/>
        <v>171,265703090588</v>
      </c>
      <c r="AG24" t="str">
        <f t="shared" si="55"/>
        <v>1+0,31894670486117i</v>
      </c>
      <c r="AH24">
        <f t="shared" si="75"/>
        <v>1.0496318404763636</v>
      </c>
      <c r="AI24">
        <f t="shared" si="76"/>
        <v>0.30874719621395535</v>
      </c>
      <c r="AJ24" t="str">
        <f t="shared" si="56"/>
        <v>1+0,00109076616910411i</v>
      </c>
      <c r="AK24">
        <f t="shared" si="77"/>
        <v>1.0000005948852408</v>
      </c>
      <c r="AL24">
        <f t="shared" si="78"/>
        <v>1.09076573651716E-3</v>
      </c>
      <c r="AM24" t="str">
        <f t="shared" si="57"/>
        <v>1-0,0000906959522778352i</v>
      </c>
      <c r="AN24">
        <f t="shared" si="79"/>
        <v>1.0000000041128778</v>
      </c>
      <c r="AO24">
        <f t="shared" si="80"/>
        <v>-9.069595202915428E-5</v>
      </c>
      <c r="AP24" s="41" t="str">
        <f t="shared" si="81"/>
        <v>155,501633722827-49,4254559475996i</v>
      </c>
      <c r="AQ24">
        <f t="shared" si="82"/>
        <v>44.252673308361636</v>
      </c>
      <c r="AR24" s="43">
        <f t="shared" si="83"/>
        <v>-17.63261150168745</v>
      </c>
      <c r="AS24" t="str">
        <f t="shared" si="58"/>
        <v>-0,0000166666666666667</v>
      </c>
      <c r="AT24" t="str">
        <f t="shared" si="59"/>
        <v>1,10591569923055E-07i</v>
      </c>
      <c r="AU24">
        <f t="shared" si="84"/>
        <v>1.10591569923055E-7</v>
      </c>
      <c r="AV24">
        <f t="shared" si="85"/>
        <v>1.5707963267948966</v>
      </c>
      <c r="AW24" t="str">
        <f t="shared" si="60"/>
        <v>1+0,000512466632736918i</v>
      </c>
      <c r="AX24">
        <f t="shared" si="86"/>
        <v>1.0000001313110163</v>
      </c>
      <c r="AY24">
        <f t="shared" si="87"/>
        <v>5.1246658787524593E-4</v>
      </c>
      <c r="AZ24" t="str">
        <f t="shared" si="61"/>
        <v>1+0,023806404484415i</v>
      </c>
      <c r="BA24">
        <f t="shared" si="88"/>
        <v>1.0002833323086391</v>
      </c>
      <c r="BB24">
        <f t="shared" si="89"/>
        <v>2.3801908627052743E-2</v>
      </c>
      <c r="BC24" s="41" t="str">
        <f t="shared" si="90"/>
        <v>-3,51050442488292+150,70647459213i</v>
      </c>
      <c r="BD24">
        <f t="shared" si="91"/>
        <v>43.564994032114569</v>
      </c>
      <c r="BE24" s="43">
        <f t="shared" si="92"/>
        <v>91.334386736059415</v>
      </c>
      <c r="BF24" s="41" t="str">
        <f t="shared" si="93"/>
        <v>2222,74306309294+7517,40872542698i</v>
      </c>
      <c r="BG24" s="20">
        <f t="shared" si="94"/>
        <v>77.885361679588769</v>
      </c>
      <c r="BH24" s="43">
        <f t="shared" si="95"/>
        <v>73.528135892414298</v>
      </c>
      <c r="BI24" s="41" t="str">
        <f t="shared" si="96"/>
        <v>6902,84704771085+23608,6112934898i</v>
      </c>
      <c r="BJ24" s="20">
        <f t="shared" si="97"/>
        <v>87.817667340476191</v>
      </c>
      <c r="BK24" s="43">
        <f t="shared" si="98"/>
        <v>73.701775234371965</v>
      </c>
      <c r="BL24">
        <f t="shared" si="99"/>
        <v>77.885361679588769</v>
      </c>
      <c r="BM24" s="43">
        <f t="shared" si="100"/>
        <v>73.528135892414298</v>
      </c>
    </row>
    <row r="25" spans="1:65" x14ac:dyDescent="0.25">
      <c r="A25" t="s">
        <v>137</v>
      </c>
      <c r="B25" s="29">
        <f>R_cs</f>
        <v>1.5E-3</v>
      </c>
      <c r="C25" s="2" t="s">
        <v>36</v>
      </c>
      <c r="E25" t="s">
        <v>177</v>
      </c>
      <c r="N25" s="9">
        <v>7</v>
      </c>
      <c r="O25" s="34">
        <f t="shared" si="62"/>
        <v>11.748975549395301</v>
      </c>
      <c r="P25" s="33" t="str">
        <f t="shared" si="50"/>
        <v>54,631621870174</v>
      </c>
      <c r="Q25" s="4" t="str">
        <f t="shared" si="63"/>
        <v>1+0,329529531356371i</v>
      </c>
      <c r="R25" s="4">
        <f t="shared" si="64"/>
        <v>1.0528958695122466</v>
      </c>
      <c r="S25" s="4">
        <f t="shared" si="65"/>
        <v>0.31832323496849069</v>
      </c>
      <c r="T25" s="4" t="str">
        <f t="shared" si="51"/>
        <v>1+0,00111617337706116i</v>
      </c>
      <c r="U25" s="4">
        <f t="shared" si="66"/>
        <v>1.0000006229213099</v>
      </c>
      <c r="V25" s="4">
        <f t="shared" si="67"/>
        <v>1.1161729135359076E-3</v>
      </c>
      <c r="W25" t="str">
        <f t="shared" si="52"/>
        <v>1-0,000293758735108086i</v>
      </c>
      <c r="X25" s="4">
        <f t="shared" si="68"/>
        <v>1.0000000431470963</v>
      </c>
      <c r="Y25" s="4">
        <f t="shared" si="69"/>
        <v>-2.9375872665819529E-4</v>
      </c>
      <c r="Z25" t="str">
        <f t="shared" si="53"/>
        <v>0,999999999447846+0,0000403600742706804i</v>
      </c>
      <c r="AA25" s="4">
        <f t="shared" si="70"/>
        <v>1.0000000002623137</v>
      </c>
      <c r="AB25" s="4">
        <f t="shared" si="71"/>
        <v>4.0360074271050722E-5</v>
      </c>
      <c r="AC25" s="47" t="str">
        <f t="shared" si="72"/>
        <v>49,2930071995831-16,2007766529716i</v>
      </c>
      <c r="AD25" s="20">
        <f t="shared" si="73"/>
        <v>34.301179219376479</v>
      </c>
      <c r="AE25" s="43">
        <f t="shared" si="74"/>
        <v>-18.193769484642569</v>
      </c>
      <c r="AF25" t="str">
        <f t="shared" si="54"/>
        <v>171,265703090588</v>
      </c>
      <c r="AG25" t="str">
        <f t="shared" si="55"/>
        <v>1+0,326375927995474i</v>
      </c>
      <c r="AH25">
        <f t="shared" si="75"/>
        <v>1.0519131363258598</v>
      </c>
      <c r="AI25">
        <f t="shared" si="76"/>
        <v>0.31547587512391884</v>
      </c>
      <c r="AJ25" t="str">
        <f t="shared" si="56"/>
        <v>1+0,00111617337706116i</v>
      </c>
      <c r="AK25">
        <f t="shared" si="77"/>
        <v>1.0000006229213099</v>
      </c>
      <c r="AL25">
        <f t="shared" si="78"/>
        <v>1.1161729135359076E-3</v>
      </c>
      <c r="AM25" t="str">
        <f t="shared" si="57"/>
        <v>1-0,0000928085323941384i</v>
      </c>
      <c r="AN25">
        <f t="shared" si="79"/>
        <v>1.0000000043067119</v>
      </c>
      <c r="AO25">
        <f t="shared" si="80"/>
        <v>-9.2808532127672001E-5</v>
      </c>
      <c r="AP25" s="41" t="str">
        <f t="shared" si="81"/>
        <v>154,830216248368-50,3575882101609i</v>
      </c>
      <c r="AQ25">
        <f t="shared" si="82"/>
        <v>44.233815911226387</v>
      </c>
      <c r="AR25" s="43">
        <f t="shared" si="83"/>
        <v>-18.016801722838025</v>
      </c>
      <c r="AS25" t="str">
        <f t="shared" si="58"/>
        <v>-0,0000166666666666667</v>
      </c>
      <c r="AT25" t="str">
        <f t="shared" si="59"/>
        <v>1,13167578507589E-07i</v>
      </c>
      <c r="AU25">
        <f t="shared" si="84"/>
        <v>1.13167578507589E-7</v>
      </c>
      <c r="AV25">
        <f t="shared" si="85"/>
        <v>1.5707963267948966</v>
      </c>
      <c r="AW25" t="str">
        <f t="shared" si="60"/>
        <v>1+0,000524403514057403i</v>
      </c>
      <c r="AX25">
        <f t="shared" si="86"/>
        <v>1.0000001374995133</v>
      </c>
      <c r="AY25">
        <f t="shared" si="87"/>
        <v>5.2440346598725562E-4</v>
      </c>
      <c r="AZ25" t="str">
        <f t="shared" si="61"/>
        <v>1+0,024360926880303i</v>
      </c>
      <c r="BA25">
        <f t="shared" si="88"/>
        <v>1.000296683368723</v>
      </c>
      <c r="BB25">
        <f t="shared" si="89"/>
        <v>2.4356109559511264E-2</v>
      </c>
      <c r="BC25" s="41" t="str">
        <f t="shared" si="90"/>
        <v>-3,51050438143344+147,276059265525i</v>
      </c>
      <c r="BD25">
        <f t="shared" si="91"/>
        <v>43.365109910575164</v>
      </c>
      <c r="BE25" s="43">
        <f t="shared" si="92"/>
        <v>91.365456177755135</v>
      </c>
      <c r="BF25" s="41" t="str">
        <f t="shared" si="93"/>
        <v>2212,94322474241+7316,55274712463i</v>
      </c>
      <c r="BG25" s="20">
        <f t="shared" si="94"/>
        <v>77.666289129951622</v>
      </c>
      <c r="BH25" s="43">
        <f t="shared" si="95"/>
        <v>73.171686693112591</v>
      </c>
      <c r="BI25" s="41" t="str">
        <f t="shared" si="96"/>
        <v>6872,93499319038+22979,5646383389i</v>
      </c>
      <c r="BJ25" s="20">
        <f t="shared" si="97"/>
        <v>87.598925821801558</v>
      </c>
      <c r="BK25" s="43">
        <f t="shared" si="98"/>
        <v>73.34865445491711</v>
      </c>
      <c r="BL25">
        <f t="shared" si="99"/>
        <v>77.666289129951622</v>
      </c>
      <c r="BM25" s="43">
        <f t="shared" si="100"/>
        <v>73.171686693112591</v>
      </c>
    </row>
    <row r="26" spans="1:65" x14ac:dyDescent="0.25">
      <c r="A26" t="s">
        <v>138</v>
      </c>
      <c r="B26" s="29">
        <f>R_sl</f>
        <v>0</v>
      </c>
      <c r="C26" s="2" t="s">
        <v>36</v>
      </c>
      <c r="E26" t="s">
        <v>493</v>
      </c>
      <c r="N26" s="9">
        <v>8</v>
      </c>
      <c r="O26" s="34">
        <f t="shared" si="62"/>
        <v>12.022644346174133</v>
      </c>
      <c r="P26" s="33" t="str">
        <f t="shared" si="50"/>
        <v>54,631621870174</v>
      </c>
      <c r="Q26" s="4" t="str">
        <f t="shared" si="63"/>
        <v>1+0,337205260186535i</v>
      </c>
      <c r="R26" s="4">
        <f t="shared" si="64"/>
        <v>1.0553233568425693</v>
      </c>
      <c r="S26" s="4">
        <f t="shared" si="65"/>
        <v>0.32523123141382049</v>
      </c>
      <c r="T26" s="4" t="str">
        <f t="shared" si="51"/>
        <v>1+0,00114217239491702i</v>
      </c>
      <c r="U26" s="4">
        <f t="shared" si="66"/>
        <v>1.0000006522786771</v>
      </c>
      <c r="V26" s="4">
        <f t="shared" si="67"/>
        <v>1.142171898240781E-3</v>
      </c>
      <c r="W26" t="str">
        <f t="shared" si="52"/>
        <v>1-0,000300601255057363i</v>
      </c>
      <c r="X26" s="4">
        <f t="shared" si="68"/>
        <v>1.0000000451805562</v>
      </c>
      <c r="Y26" s="4">
        <f t="shared" si="69"/>
        <v>-3.0060124600314201E-4</v>
      </c>
      <c r="Z26" t="str">
        <f t="shared" si="53"/>
        <v>0,999999999421824+0,000041300181169118i</v>
      </c>
      <c r="AA26" s="4">
        <f t="shared" si="70"/>
        <v>1.0000000002746765</v>
      </c>
      <c r="AB26" s="4">
        <f t="shared" si="71"/>
        <v>4.1300181169514796E-5</v>
      </c>
      <c r="AC26" s="47" t="str">
        <f t="shared" si="72"/>
        <v>49,0670940370548-16,5019621117786i</v>
      </c>
      <c r="AD26" s="20">
        <f t="shared" si="73"/>
        <v>34.281176926629733</v>
      </c>
      <c r="AE26" s="43">
        <f t="shared" si="74"/>
        <v>-18.588524805393302</v>
      </c>
      <c r="AF26" t="str">
        <f t="shared" si="54"/>
        <v>171,265703090588</v>
      </c>
      <c r="AG26" t="str">
        <f t="shared" si="55"/>
        <v>1+0,333978199966896i</v>
      </c>
      <c r="AH26">
        <f t="shared" si="75"/>
        <v>1.054296655620764</v>
      </c>
      <c r="AI26">
        <f t="shared" si="76"/>
        <v>0.32233082204313546</v>
      </c>
      <c r="AJ26" t="str">
        <f t="shared" si="56"/>
        <v>1+0,00114217239491702i</v>
      </c>
      <c r="AK26">
        <f t="shared" si="77"/>
        <v>1.0000006522786771</v>
      </c>
      <c r="AL26">
        <f t="shared" si="78"/>
        <v>1.142171898240781E-3</v>
      </c>
      <c r="AM26" t="str">
        <f t="shared" si="57"/>
        <v>1-0,0000949703208227831i</v>
      </c>
      <c r="AN26">
        <f t="shared" si="79"/>
        <v>1.0000000045096809</v>
      </c>
      <c r="AO26">
        <f t="shared" si="80"/>
        <v>-9.4970320537259204E-5</v>
      </c>
      <c r="AP26" s="41" t="str">
        <f t="shared" si="81"/>
        <v>154,133363567157-51,2978335195047i</v>
      </c>
      <c r="AQ26">
        <f t="shared" si="82"/>
        <v>44.214157163014278</v>
      </c>
      <c r="AR26" s="43">
        <f t="shared" si="83"/>
        <v>-18.408195479352255</v>
      </c>
      <c r="AS26" t="str">
        <f t="shared" si="58"/>
        <v>-0,0000166666666666667</v>
      </c>
      <c r="AT26" t="str">
        <f t="shared" si="59"/>
        <v>1,15803590040198E-07i</v>
      </c>
      <c r="AU26">
        <f t="shared" si="84"/>
        <v>1.15803590040198E-7</v>
      </c>
      <c r="AV26">
        <f t="shared" si="85"/>
        <v>1.5707963267948966</v>
      </c>
      <c r="AW26" t="str">
        <f t="shared" si="60"/>
        <v>1+0,000536618441062342i</v>
      </c>
      <c r="AX26">
        <f t="shared" si="86"/>
        <v>1.0000001439796653</v>
      </c>
      <c r="AY26">
        <f t="shared" si="87"/>
        <v>5.3661838955425148E-4</v>
      </c>
      <c r="AZ26" t="str">
        <f t="shared" si="61"/>
        <v>1+0,0249283657620779i</v>
      </c>
      <c r="BA26">
        <f t="shared" si="88"/>
        <v>1.0003106634538932</v>
      </c>
      <c r="BB26">
        <f t="shared" si="89"/>
        <v>2.4923203996427796E-2</v>
      </c>
      <c r="BC26" s="41" t="str">
        <f t="shared" si="90"/>
        <v>-3,51050433593624+143,92373165497i</v>
      </c>
      <c r="BD26">
        <f t="shared" si="91"/>
        <v>43.165231246902529</v>
      </c>
      <c r="BE26" s="43">
        <f t="shared" si="92"/>
        <v>91.397248432008325</v>
      </c>
      <c r="BF26" s="41" t="str">
        <f t="shared" si="93"/>
        <v>2202,77372038723+7119,84948482311i</v>
      </c>
      <c r="BG26" s="20">
        <f t="shared" si="94"/>
        <v>77.446408173532262</v>
      </c>
      <c r="BH26" s="43">
        <f t="shared" si="95"/>
        <v>72.808723626615063</v>
      </c>
      <c r="BI26" s="41" t="str">
        <f t="shared" si="96"/>
        <v>6841,88978482758+22363,5301241118i</v>
      </c>
      <c r="BJ26" s="20">
        <f t="shared" si="97"/>
        <v>87.379388409916814</v>
      </c>
      <c r="BK26" s="43">
        <f t="shared" si="98"/>
        <v>72.989052952656081</v>
      </c>
      <c r="BL26">
        <f t="shared" si="99"/>
        <v>77.446408173532262</v>
      </c>
      <c r="BM26" s="43">
        <f t="shared" si="100"/>
        <v>72.808723626615063</v>
      </c>
    </row>
    <row r="27" spans="1:65" x14ac:dyDescent="0.25">
      <c r="A27" t="s">
        <v>129</v>
      </c>
      <c r="B27" s="12">
        <f>Rsl_int</f>
        <v>3000</v>
      </c>
      <c r="C27" s="2" t="s">
        <v>36</v>
      </c>
      <c r="E27" t="s">
        <v>178</v>
      </c>
      <c r="N27" s="9">
        <v>9</v>
      </c>
      <c r="O27" s="34">
        <f t="shared" si="62"/>
        <v>12.302687708123818</v>
      </c>
      <c r="P27" s="33" t="str">
        <f t="shared" si="50"/>
        <v>54,631621870174</v>
      </c>
      <c r="Q27" s="4" t="str">
        <f t="shared" si="63"/>
        <v>1+0,34505977970909i</v>
      </c>
      <c r="R27" s="4">
        <f t="shared" si="64"/>
        <v>1.0578592777741687</v>
      </c>
      <c r="S27" s="4">
        <f t="shared" si="65"/>
        <v>0.33226697100735386</v>
      </c>
      <c r="T27" s="4" t="str">
        <f t="shared" si="51"/>
        <v>1+0,00116877700769512i</v>
      </c>
      <c r="U27" s="4">
        <f t="shared" si="66"/>
        <v>1.0000006830196138</v>
      </c>
      <c r="V27" s="4">
        <f t="shared" si="67"/>
        <v>1.1687764754969609E-3</v>
      </c>
      <c r="W27" t="str">
        <f t="shared" si="52"/>
        <v>1-0,000307603157770999i</v>
      </c>
      <c r="X27" s="4">
        <f t="shared" si="68"/>
        <v>1.0000000473098503</v>
      </c>
      <c r="Y27" s="4">
        <f t="shared" si="69"/>
        <v>-3.0760314806922647E-4</v>
      </c>
      <c r="Z27" t="str">
        <f t="shared" si="53"/>
        <v>0,999999999394576+0,0000422621859702841i</v>
      </c>
      <c r="AA27" s="4">
        <f t="shared" si="70"/>
        <v>1.0000000002876219</v>
      </c>
      <c r="AB27" s="4">
        <f t="shared" si="71"/>
        <v>4.2262185970709247E-5</v>
      </c>
      <c r="AC27" s="47" t="str">
        <f t="shared" si="72"/>
        <v>48,8327485575008-16,8054789883547i</v>
      </c>
      <c r="AD27" s="20">
        <f t="shared" si="73"/>
        <v>34.260330230267407</v>
      </c>
      <c r="AE27" s="43">
        <f t="shared" si="74"/>
        <v>-18.990574958115332</v>
      </c>
      <c r="AF27" t="str">
        <f t="shared" si="54"/>
        <v>171,265703090588</v>
      </c>
      <c r="AG27" t="str">
        <f t="shared" si="55"/>
        <v>1+0,341757551600665i</v>
      </c>
      <c r="AH27">
        <f t="shared" si="75"/>
        <v>1.0567867448431028</v>
      </c>
      <c r="AI27">
        <f t="shared" si="76"/>
        <v>0.32931309375266132</v>
      </c>
      <c r="AJ27" t="str">
        <f t="shared" si="56"/>
        <v>1+0,00116877700769512i</v>
      </c>
      <c r="AK27">
        <f t="shared" si="77"/>
        <v>1.0000006830196138</v>
      </c>
      <c r="AL27">
        <f t="shared" si="78"/>
        <v>1.1687764754969609E-3</v>
      </c>
      <c r="AM27" t="str">
        <f t="shared" si="57"/>
        <v>1-0,000097182463772609i</v>
      </c>
      <c r="AN27">
        <f t="shared" si="79"/>
        <v>1.0000000047222155</v>
      </c>
      <c r="AO27">
        <f t="shared" si="80"/>
        <v>-9.7182463466664629E-5</v>
      </c>
      <c r="AP27" s="41" t="str">
        <f t="shared" si="81"/>
        <v>153,410384009125-52,2456298360833i</v>
      </c>
      <c r="AQ27">
        <f t="shared" si="82"/>
        <v>44.193666862717393</v>
      </c>
      <c r="AR27" s="43">
        <f t="shared" si="83"/>
        <v>-18.806852596182619</v>
      </c>
      <c r="AS27" t="str">
        <f t="shared" si="58"/>
        <v>-0,0000166666666666667</v>
      </c>
      <c r="AT27" t="str">
        <f t="shared" si="59"/>
        <v>1,18501002169088E-07i</v>
      </c>
      <c r="AU27">
        <f t="shared" si="84"/>
        <v>1.18501002169088E-7</v>
      </c>
      <c r="AV27">
        <f t="shared" si="85"/>
        <v>1.5707963267948966</v>
      </c>
      <c r="AW27" t="str">
        <f t="shared" si="60"/>
        <v>1+0,000549117890267718i</v>
      </c>
      <c r="AX27">
        <f t="shared" si="86"/>
        <v>1.0000001507652174</v>
      </c>
      <c r="AY27">
        <f t="shared" si="87"/>
        <v>5.4911783507580506E-4</v>
      </c>
      <c r="AZ27" t="str">
        <f t="shared" si="61"/>
        <v>1+0,0255090219933458i</v>
      </c>
      <c r="BA27">
        <f t="shared" si="88"/>
        <v>1.000325302190771</v>
      </c>
      <c r="BB27">
        <f t="shared" si="89"/>
        <v>2.5503491158940472E-2</v>
      </c>
      <c r="BC27" s="41" t="str">
        <f t="shared" si="90"/>
        <v>-3,51050428829482+140,647714311991i</v>
      </c>
      <c r="BD27">
        <f t="shared" si="91"/>
        <v>42.965358297998115</v>
      </c>
      <c r="BE27" s="43">
        <f t="shared" si="92"/>
        <v>91.429780271851286</v>
      </c>
      <c r="BF27" s="41" t="str">
        <f t="shared" si="93"/>
        <v>2192,22463440995+6927,21017424013i</v>
      </c>
      <c r="BG27" s="20">
        <f t="shared" si="94"/>
        <v>77.225688528265522</v>
      </c>
      <c r="BH27" s="43">
        <f t="shared" si="95"/>
        <v>72.439205313735968</v>
      </c>
      <c r="BI27" s="41" t="str">
        <f t="shared" si="96"/>
        <v>6809,68060830249+21760,2283701925i</v>
      </c>
      <c r="BJ27" s="20">
        <f t="shared" si="97"/>
        <v>87.159025160715515</v>
      </c>
      <c r="BK27" s="43">
        <f t="shared" si="98"/>
        <v>72.622927675668691</v>
      </c>
      <c r="BL27">
        <f t="shared" si="99"/>
        <v>77.225688528265522</v>
      </c>
      <c r="BM27" s="43">
        <f t="shared" si="100"/>
        <v>72.439205313735968</v>
      </c>
    </row>
    <row r="28" spans="1:65" x14ac:dyDescent="0.25">
      <c r="A28" t="s">
        <v>127</v>
      </c>
      <c r="B28" s="12">
        <f>Isl</f>
        <v>2.9999999999999997E-5</v>
      </c>
      <c r="C28" s="2" t="s">
        <v>11</v>
      </c>
      <c r="E28" t="s">
        <v>179</v>
      </c>
      <c r="N28" s="9">
        <v>10</v>
      </c>
      <c r="O28" s="34">
        <f t="shared" si="62"/>
        <v>12.58925411794168</v>
      </c>
      <c r="P28" s="33" t="str">
        <f t="shared" si="50"/>
        <v>54,631621870174</v>
      </c>
      <c r="Q28" s="4" t="str">
        <f t="shared" si="63"/>
        <v>1+0,353097254494252i</v>
      </c>
      <c r="R28" s="4">
        <f t="shared" si="64"/>
        <v>1.0605082136086352</v>
      </c>
      <c r="S28" s="4">
        <f t="shared" si="65"/>
        <v>0.33943139703600256</v>
      </c>
      <c r="T28" s="4" t="str">
        <f t="shared" si="51"/>
        <v>1+0,00119600132151328i</v>
      </c>
      <c r="U28" s="4">
        <f t="shared" si="66"/>
        <v>1.0000007152093249</v>
      </c>
      <c r="V28" s="4">
        <f t="shared" si="67"/>
        <v>1.1960007512527003E-3</v>
      </c>
      <c r="W28" t="str">
        <f t="shared" si="52"/>
        <v>1-0,000314768155750495i</v>
      </c>
      <c r="X28" s="4">
        <f t="shared" si="68"/>
        <v>1.0000000495394947</v>
      </c>
      <c r="Y28" s="4">
        <f t="shared" si="69"/>
        <v>-3.1476814535485846E-4</v>
      </c>
      <c r="Z28" t="str">
        <f t="shared" si="53"/>
        <v>0,999999999366043+0,0000432465987418577i</v>
      </c>
      <c r="AA28" s="4">
        <f t="shared" si="70"/>
        <v>1.0000000003011771</v>
      </c>
      <c r="AB28" s="4">
        <f t="shared" si="71"/>
        <v>4.3246598742313269E-5</v>
      </c>
      <c r="AC28" s="47" t="str">
        <f t="shared" si="72"/>
        <v>48,5897522870249-17,1111275647901i</v>
      </c>
      <c r="AD28" s="20">
        <f t="shared" si="73"/>
        <v>34.238607786101404</v>
      </c>
      <c r="AE28" s="43">
        <f t="shared" si="74"/>
        <v>-19.399973422891314</v>
      </c>
      <c r="AF28" t="str">
        <f t="shared" si="54"/>
        <v>171,265703090588</v>
      </c>
      <c r="AG28" t="str">
        <f t="shared" si="55"/>
        <v>1+0,349718107611989i</v>
      </c>
      <c r="AH28">
        <f t="shared" si="75"/>
        <v>1.0593879151621992</v>
      </c>
      <c r="AI28">
        <f t="shared" si="76"/>
        <v>0.33642366824085396</v>
      </c>
      <c r="AJ28" t="str">
        <f t="shared" si="56"/>
        <v>1+0,00119600132151328i</v>
      </c>
      <c r="AK28">
        <f t="shared" si="77"/>
        <v>1.0000007152093249</v>
      </c>
      <c r="AL28">
        <f t="shared" si="78"/>
        <v>1.1960007512527003E-3</v>
      </c>
      <c r="AM28" t="str">
        <f t="shared" si="57"/>
        <v>1-0,0000994461341510891i</v>
      </c>
      <c r="AN28">
        <f t="shared" si="79"/>
        <v>1.0000000049447668</v>
      </c>
      <c r="AO28">
        <f t="shared" si="80"/>
        <v>-9.9446133823263814E-5</v>
      </c>
      <c r="AP28" s="41" t="str">
        <f t="shared" si="81"/>
        <v>152,660590551252-53,2003705393715i</v>
      </c>
      <c r="AQ28">
        <f t="shared" si="82"/>
        <v>44.172314001590266</v>
      </c>
      <c r="AR28" s="43">
        <f t="shared" si="83"/>
        <v>-19.21282836692609</v>
      </c>
      <c r="AS28" t="str">
        <f t="shared" si="58"/>
        <v>-0,0000166666666666667</v>
      </c>
      <c r="AT28" t="str">
        <f t="shared" si="59"/>
        <v>1,21261245097875E-07i</v>
      </c>
      <c r="AU28">
        <f t="shared" si="84"/>
        <v>1.2126124509787501E-7</v>
      </c>
      <c r="AV28">
        <f t="shared" si="85"/>
        <v>1.5707963267948966</v>
      </c>
      <c r="AW28" t="str">
        <f t="shared" si="60"/>
        <v>1+0,000561908489046948i</v>
      </c>
      <c r="AX28">
        <f t="shared" si="86"/>
        <v>1.0000001578705626</v>
      </c>
      <c r="AY28">
        <f t="shared" si="87"/>
        <v>5.6190842990774836E-4</v>
      </c>
      <c r="AZ28" t="str">
        <f t="shared" si="61"/>
        <v>1+0,0261032034457264i</v>
      </c>
      <c r="BA28">
        <f t="shared" si="88"/>
        <v>1.0003406306004616</v>
      </c>
      <c r="BB28">
        <f t="shared" si="89"/>
        <v>2.6097277158872834E-2</v>
      </c>
      <c r="BC28" s="41" t="str">
        <f t="shared" si="90"/>
        <v>-3,51050423840812+137,44627024883i</v>
      </c>
      <c r="BD28">
        <f t="shared" si="91"/>
        <v>42.765491332840057</v>
      </c>
      <c r="BE28" s="43">
        <f t="shared" si="92"/>
        <v>91.463068856480035</v>
      </c>
      <c r="BF28" s="41" t="str">
        <f t="shared" si="93"/>
        <v>2181,28613218554+6738,54891000627i</v>
      </c>
      <c r="BG28" s="20">
        <f t="shared" si="94"/>
        <v>77.004099118941454</v>
      </c>
      <c r="BH28" s="43">
        <f t="shared" si="95"/>
        <v>72.063095433588757</v>
      </c>
      <c r="BI28" s="41" t="str">
        <f t="shared" si="96"/>
        <v>6776,27685632429+21169,3889115167i</v>
      </c>
      <c r="BJ28" s="20">
        <f t="shared" si="97"/>
        <v>86.937805334430323</v>
      </c>
      <c r="BK28" s="43">
        <f t="shared" si="98"/>
        <v>72.250240489553946</v>
      </c>
      <c r="BL28">
        <f t="shared" si="99"/>
        <v>77.004099118941454</v>
      </c>
      <c r="BM28" s="43">
        <f t="shared" si="100"/>
        <v>72.063095433588757</v>
      </c>
    </row>
    <row r="29" spans="1:65" x14ac:dyDescent="0.25">
      <c r="A29" t="s">
        <v>491</v>
      </c>
      <c r="B29" s="12">
        <f>Vsl</f>
        <v>4.4999999999999998E-2</v>
      </c>
      <c r="C29" s="2"/>
      <c r="N29" s="9">
        <v>11</v>
      </c>
      <c r="O29" s="34">
        <f t="shared" si="62"/>
        <v>12.882495516931346</v>
      </c>
      <c r="P29" s="33" t="str">
        <f t="shared" si="50"/>
        <v>54,631621870174</v>
      </c>
      <c r="Q29" s="4" t="str">
        <f t="shared" si="63"/>
        <v>1+0,361321946117542i</v>
      </c>
      <c r="R29" s="4">
        <f t="shared" si="64"/>
        <v>1.0632749168235691</v>
      </c>
      <c r="S29" s="4">
        <f t="shared" si="65"/>
        <v>0.34672536529604442</v>
      </c>
      <c r="T29" s="4" t="str">
        <f t="shared" si="51"/>
        <v>1+0,00122385977106306i</v>
      </c>
      <c r="U29" s="4">
        <f t="shared" si="66"/>
        <v>1.0000007489160891</v>
      </c>
      <c r="V29" s="4">
        <f t="shared" si="67"/>
        <v>1.2238591600178647E-3</v>
      </c>
      <c r="W29" t="str">
        <f t="shared" si="52"/>
        <v>1-0,000322100047972618i</v>
      </c>
      <c r="X29" s="4">
        <f t="shared" si="68"/>
        <v>1.0000000518742191</v>
      </c>
      <c r="Y29" s="4">
        <f t="shared" si="69"/>
        <v>-3.2210003683349277E-4</v>
      </c>
      <c r="Z29" t="str">
        <f t="shared" si="53"/>
        <v>0,999999999336165+0,0000442539414325206i</v>
      </c>
      <c r="AA29" s="4">
        <f t="shared" si="70"/>
        <v>1.0000000003153706</v>
      </c>
      <c r="AB29" s="4">
        <f t="shared" si="71"/>
        <v>4.4253941433008771E-5</v>
      </c>
      <c r="AC29" s="47" t="str">
        <f t="shared" si="72"/>
        <v>48,3378893466989-17,4186933193639i</v>
      </c>
      <c r="AD29" s="20">
        <f t="shared" si="73"/>
        <v>34.215977452768655</v>
      </c>
      <c r="AE29" s="43">
        <f t="shared" si="74"/>
        <v>-19.816768653770101</v>
      </c>
      <c r="AF29" t="str">
        <f t="shared" si="54"/>
        <v>171,265703090588</v>
      </c>
      <c r="AG29" t="str">
        <f t="shared" si="55"/>
        <v>1+0,357864088793035i</v>
      </c>
      <c r="AH29">
        <f t="shared" si="75"/>
        <v>1.0621048470126051</v>
      </c>
      <c r="AI29">
        <f t="shared" si="76"/>
        <v>0.34366343860315368</v>
      </c>
      <c r="AJ29" t="str">
        <f t="shared" si="56"/>
        <v>1+0,00122385977106306i</v>
      </c>
      <c r="AK29">
        <f t="shared" si="77"/>
        <v>1.0000007489160891</v>
      </c>
      <c r="AL29">
        <f t="shared" si="78"/>
        <v>1.2238591600178647E-3</v>
      </c>
      <c r="AM29" t="str">
        <f t="shared" si="57"/>
        <v>1-0,000101762532186221i</v>
      </c>
      <c r="AN29">
        <f t="shared" si="79"/>
        <v>1.0000000051778064</v>
      </c>
      <c r="AO29">
        <f t="shared" si="80"/>
        <v>-1.0176253183494986E-4</v>
      </c>
      <c r="AP29" s="41" t="str">
        <f t="shared" si="81"/>
        <v>151,883303236946-54,1614031432135i</v>
      </c>
      <c r="AQ29">
        <f t="shared" si="82"/>
        <v>44.150066769995469</v>
      </c>
      <c r="AR29" s="43">
        <f t="shared" si="83"/>
        <v>-19.626173203913201</v>
      </c>
      <c r="AS29" t="str">
        <f t="shared" si="58"/>
        <v>-0,0000166666666666667</v>
      </c>
      <c r="AT29" t="str">
        <f t="shared" si="59"/>
        <v>1,24085782343894E-07i</v>
      </c>
      <c r="AU29">
        <f t="shared" si="84"/>
        <v>1.2408578234389399E-7</v>
      </c>
      <c r="AV29">
        <f t="shared" si="85"/>
        <v>1.5707963267948966</v>
      </c>
      <c r="AW29" t="str">
        <f t="shared" si="60"/>
        <v>1+0,000574997019144809i</v>
      </c>
      <c r="AX29">
        <f t="shared" si="86"/>
        <v>1.0000001653107724</v>
      </c>
      <c r="AY29">
        <f t="shared" si="87"/>
        <v>5.7499695577601555E-4</v>
      </c>
      <c r="AZ29" t="str">
        <f t="shared" si="61"/>
        <v>1+0,0267112251620907i</v>
      </c>
      <c r="BA29">
        <f t="shared" si="88"/>
        <v>1.0003566811641036</v>
      </c>
      <c r="BB29">
        <f t="shared" si="89"/>
        <v>2.670487515359735E-2</v>
      </c>
      <c r="BC29" s="41" t="str">
        <f t="shared" si="90"/>
        <v>-3,51050418617037+134,31770201747i</v>
      </c>
      <c r="BD29">
        <f t="shared" si="91"/>
        <v>42.565630633049309</v>
      </c>
      <c r="BE29" s="43">
        <f t="shared" si="92"/>
        <v>91.497131739926061</v>
      </c>
      <c r="BF29" s="41" t="str">
        <f t="shared" si="93"/>
        <v>2169,94849590179+6553,78261323859i</v>
      </c>
      <c r="BG29" s="20">
        <f t="shared" si="94"/>
        <v>76.781608085817965</v>
      </c>
      <c r="BH29" s="43">
        <f t="shared" si="95"/>
        <v>71.680363086155978</v>
      </c>
      <c r="BI29" s="41" t="str">
        <f t="shared" si="96"/>
        <v>6741,64823641553+20590,7500980723i</v>
      </c>
      <c r="BJ29" s="20">
        <f t="shared" si="97"/>
        <v>86.7156974030448</v>
      </c>
      <c r="BK29" s="43">
        <f t="shared" si="98"/>
        <v>71.870958536012893</v>
      </c>
      <c r="BL29">
        <f t="shared" si="99"/>
        <v>76.781608085817965</v>
      </c>
      <c r="BM29" s="43">
        <f t="shared" si="100"/>
        <v>71.680363086155978</v>
      </c>
    </row>
    <row r="30" spans="1:65" x14ac:dyDescent="0.25">
      <c r="A30" t="s">
        <v>201</v>
      </c>
      <c r="B30" s="12">
        <f>Gcomp</f>
        <v>1</v>
      </c>
      <c r="C30" s="2"/>
      <c r="E30" t="s">
        <v>202</v>
      </c>
      <c r="N30" s="9">
        <v>12</v>
      </c>
      <c r="O30" s="34">
        <f t="shared" si="62"/>
        <v>13.182567385564075</v>
      </c>
      <c r="P30" s="33" t="str">
        <f t="shared" si="50"/>
        <v>54,631621870174</v>
      </c>
      <c r="Q30" s="4" t="str">
        <f t="shared" si="63"/>
        <v>1+0,369738215419325i</v>
      </c>
      <c r="R30" s="4">
        <f t="shared" si="64"/>
        <v>1.0661643156387608</v>
      </c>
      <c r="S30" s="4">
        <f t="shared" si="65"/>
        <v>0.35414963776081293</v>
      </c>
      <c r="T30" s="4" t="str">
        <f t="shared" si="51"/>
        <v>1+0,00125236712726316i</v>
      </c>
      <c r="U30" s="4">
        <f t="shared" si="66"/>
        <v>1.0000007842114031</v>
      </c>
      <c r="V30" s="4">
        <f t="shared" si="67"/>
        <v>1.2523664725164645E-3</v>
      </c>
      <c r="W30" t="str">
        <f t="shared" si="52"/>
        <v>1-0,000329602721903675i</v>
      </c>
      <c r="X30" s="4">
        <f t="shared" si="68"/>
        <v>1.0000000543189755</v>
      </c>
      <c r="Y30" s="4">
        <f t="shared" si="69"/>
        <v>-3.2960270996788729E-4</v>
      </c>
      <c r="Z30" t="str">
        <f t="shared" si="53"/>
        <v>0,99999999930488+0,0000452847481487013i</v>
      </c>
      <c r="AA30" s="4">
        <f t="shared" si="70"/>
        <v>1.0000000003302343</v>
      </c>
      <c r="AB30" s="4">
        <f t="shared" si="71"/>
        <v>4.5284748149224357E-5</v>
      </c>
      <c r="AC30" s="47" t="str">
        <f t="shared" si="72"/>
        <v>48,076947304625-17,7279465634774i</v>
      </c>
      <c r="AD30" s="20">
        <f t="shared" si="73"/>
        <v>34.192406302801146</v>
      </c>
      <c r="AE30" s="43">
        <f t="shared" si="74"/>
        <v>-20.241003715645139</v>
      </c>
      <c r="AF30" t="str">
        <f t="shared" si="54"/>
        <v>171,265703090588</v>
      </c>
      <c r="AG30" t="str">
        <f t="shared" si="55"/>
        <v>1+0,36619981425085i</v>
      </c>
      <c r="AH30">
        <f t="shared" si="75"/>
        <v>1.0649423946661889</v>
      </c>
      <c r="AI30">
        <f t="shared" si="76"/>
        <v>0.3510332067751763</v>
      </c>
      <c r="AJ30" t="str">
        <f t="shared" si="56"/>
        <v>1+0,00125236712726316i</v>
      </c>
      <c r="AK30">
        <f t="shared" si="77"/>
        <v>1.0000007842114031</v>
      </c>
      <c r="AL30">
        <f t="shared" si="78"/>
        <v>1.2523664725164645E-3</v>
      </c>
      <c r="AM30" t="str">
        <f t="shared" si="57"/>
        <v>1-0,000104132886062905i</v>
      </c>
      <c r="AN30">
        <f t="shared" si="79"/>
        <v>1.000000005421829</v>
      </c>
      <c r="AO30">
        <f t="shared" si="80"/>
        <v>-1.041328856865112E-4</v>
      </c>
      <c r="AP30" s="41" t="str">
        <f t="shared" si="81"/>
        <v>151,077851771362-55,1280281114585i</v>
      </c>
      <c r="AQ30">
        <f t="shared" si="82"/>
        <v>44.126892567185187</v>
      </c>
      <c r="AR30" s="43">
        <f t="shared" si="83"/>
        <v>-20.046932278740258</v>
      </c>
      <c r="AS30" t="str">
        <f t="shared" si="58"/>
        <v>-0,0000166666666666667</v>
      </c>
      <c r="AT30" t="str">
        <f t="shared" si="59"/>
        <v>1,26976111514182E-07i</v>
      </c>
      <c r="AU30">
        <f t="shared" si="84"/>
        <v>1.26976111514182E-7</v>
      </c>
      <c r="AV30">
        <f t="shared" si="85"/>
        <v>1.5707963267948966</v>
      </c>
      <c r="AW30" t="str">
        <f t="shared" si="60"/>
        <v>1+0,000588390420273205i</v>
      </c>
      <c r="AX30">
        <f t="shared" si="86"/>
        <v>1.0000001731016284</v>
      </c>
      <c r="AY30">
        <f t="shared" si="87"/>
        <v>5.8839035237231996E-4</v>
      </c>
      <c r="AZ30" t="str">
        <f t="shared" si="61"/>
        <v>1+0,0273334095236007i</v>
      </c>
      <c r="BA30">
        <f t="shared" si="88"/>
        <v>1.0003734878914898</v>
      </c>
      <c r="BB30">
        <f t="shared" si="89"/>
        <v>2.7326605504104085E-2</v>
      </c>
      <c r="BC30" s="41" t="str">
        <f t="shared" si="90"/>
        <v>-3,51050413147071+131,260350809621i</v>
      </c>
      <c r="BD30">
        <f t="shared" si="91"/>
        <v>42.365776493481953</v>
      </c>
      <c r="BE30" s="43">
        <f t="shared" si="92"/>
        <v>91.531986879906981</v>
      </c>
      <c r="BF30" s="41" t="str">
        <f t="shared" si="93"/>
        <v>2158,20216291487+6372,83099871432i</v>
      </c>
      <c r="BG30" s="20">
        <f t="shared" si="94"/>
        <v>76.558182796283091</v>
      </c>
      <c r="BH30" s="43">
        <f t="shared" si="95"/>
        <v>71.290983164261874</v>
      </c>
      <c r="BI30" s="41" t="str">
        <f t="shared" si="96"/>
        <v>6705,76488653561+20024,058993518i</v>
      </c>
      <c r="BJ30" s="20">
        <f t="shared" si="97"/>
        <v>86.49266906066714</v>
      </c>
      <c r="BK30" s="43">
        <f t="shared" si="98"/>
        <v>71.485054601166709</v>
      </c>
      <c r="BL30">
        <f t="shared" si="99"/>
        <v>76.558182796283091</v>
      </c>
      <c r="BM30" s="43">
        <f t="shared" si="100"/>
        <v>71.290983164261874</v>
      </c>
    </row>
    <row r="31" spans="1:65" x14ac:dyDescent="0.25">
      <c r="A31" t="s">
        <v>481</v>
      </c>
      <c r="B31">
        <f>IF(Variable_Management!B20=3,1,IF((VOUT*IOUT)/(VIN_var*Np)&lt;((VIN_var*(1-(VIN_var/VOUT)))/(2*Lm*Fsw)),0,1))</f>
        <v>1</v>
      </c>
      <c r="E31" t="s">
        <v>482</v>
      </c>
      <c r="N31" s="9">
        <v>13</v>
      </c>
      <c r="O31" s="34">
        <f t="shared" si="62"/>
        <v>13.489628825916535</v>
      </c>
      <c r="P31" s="33" t="str">
        <f t="shared" si="50"/>
        <v>54,631621870174</v>
      </c>
      <c r="Q31" s="4" t="str">
        <f t="shared" si="63"/>
        <v>1+0,378350524816987i</v>
      </c>
      <c r="R31" s="4">
        <f t="shared" si="64"/>
        <v>1.0691815185595426</v>
      </c>
      <c r="S31" s="4">
        <f t="shared" si="65"/>
        <v>0.36170487610326452</v>
      </c>
      <c r="T31" s="4" t="str">
        <f t="shared" si="51"/>
        <v>1+0,00128153850509117i</v>
      </c>
      <c r="U31" s="4">
        <f t="shared" si="66"/>
        <v>1.000000821170133</v>
      </c>
      <c r="V31" s="4">
        <f t="shared" si="67"/>
        <v>1.2815378035174771E-3</v>
      </c>
      <c r="W31" t="str">
        <f t="shared" si="52"/>
        <v>1-0,000337280155560692i</v>
      </c>
      <c r="X31" s="4">
        <f t="shared" si="68"/>
        <v>1.00000005687895</v>
      </c>
      <c r="Y31" s="4">
        <f t="shared" si="69"/>
        <v>-3.372801427712651E-4</v>
      </c>
      <c r="Z31" t="str">
        <f t="shared" si="53"/>
        <v>0,99999999927212+0,0000463395654377649i</v>
      </c>
      <c r="AA31" s="4">
        <f t="shared" si="70"/>
        <v>1.0000000003457976</v>
      </c>
      <c r="AB31" s="4">
        <f t="shared" si="71"/>
        <v>4.6339565438325371E-5</v>
      </c>
      <c r="AC31" s="47" t="str">
        <f t="shared" si="72"/>
        <v>47,8067180843632-18,0386421186796i</v>
      </c>
      <c r="AD31" s="20">
        <f t="shared" si="73"/>
        <v>34.167860636926079</v>
      </c>
      <c r="AE31" s="43">
        <f t="shared" si="74"/>
        <v>-20.672715912809828</v>
      </c>
      <c r="AF31" t="str">
        <f t="shared" si="54"/>
        <v>171,265703090588</v>
      </c>
      <c r="AG31" t="str">
        <f t="shared" si="55"/>
        <v>1+0,374729703697409i</v>
      </c>
      <c r="AH31">
        <f t="shared" si="75"/>
        <v>1.0679055907865396</v>
      </c>
      <c r="AI31">
        <f t="shared" si="76"/>
        <v>0.35853367711381973</v>
      </c>
      <c r="AJ31" t="str">
        <f t="shared" si="56"/>
        <v>1+0,00128153850509117i</v>
      </c>
      <c r="AK31">
        <f t="shared" si="77"/>
        <v>1.000000821170133</v>
      </c>
      <c r="AL31">
        <f t="shared" si="78"/>
        <v>1.2815378035174771E-3</v>
      </c>
      <c r="AM31" t="str">
        <f t="shared" si="57"/>
        <v>1-0,000106558452574141i</v>
      </c>
      <c r="AN31">
        <f t="shared" si="79"/>
        <v>1.0000000056773519</v>
      </c>
      <c r="AO31">
        <f t="shared" si="80"/>
        <v>-1.0655845217082778E-4</v>
      </c>
      <c r="AP31" s="41" t="str">
        <f t="shared" si="81"/>
        <v>150,243578293429-56,0994977915234i</v>
      </c>
      <c r="AQ31">
        <f t="shared" si="82"/>
        <v>44.102758014227646</v>
      </c>
      <c r="AR31" s="43">
        <f t="shared" si="83"/>
        <v>-20.475145154080892</v>
      </c>
      <c r="AS31" t="str">
        <f t="shared" si="58"/>
        <v>-0,0000166666666666667</v>
      </c>
      <c r="AT31" t="str">
        <f t="shared" si="59"/>
        <v>1,29933765099522E-07i</v>
      </c>
      <c r="AU31">
        <f t="shared" si="84"/>
        <v>1.29933765099522E-7</v>
      </c>
      <c r="AV31">
        <f t="shared" si="85"/>
        <v>1.5707963267948966</v>
      </c>
      <c r="AW31" t="str">
        <f t="shared" si="60"/>
        <v>1+0,000602095793790699i</v>
      </c>
      <c r="AX31">
        <f t="shared" si="86"/>
        <v>1.0000001812596562</v>
      </c>
      <c r="AY31">
        <f t="shared" si="87"/>
        <v>6.0209572103359066E-4</v>
      </c>
      <c r="AZ31" t="str">
        <f t="shared" si="61"/>
        <v>1+0,0279700864206407i</v>
      </c>
      <c r="BA31">
        <f t="shared" si="88"/>
        <v>1.0003910863929057</v>
      </c>
      <c r="BB31">
        <f t="shared" si="89"/>
        <v>2.7962795936321741E-2</v>
      </c>
      <c r="BC31" s="41" t="str">
        <f t="shared" si="90"/>
        <v>-3,51050407419314+128,272595577205i</v>
      </c>
      <c r="BD31">
        <f t="shared" si="91"/>
        <v>42.165929222849783</v>
      </c>
      <c r="BE31" s="43">
        <f t="shared" si="92"/>
        <v>91.56765264685869</v>
      </c>
      <c r="BF31" s="41" t="str">
        <f t="shared" si="93"/>
        <v>2146,03776664237+6195,61654135951i</v>
      </c>
      <c r="BG31" s="20">
        <f t="shared" si="94"/>
        <v>76.333789859775877</v>
      </c>
      <c r="BH31" s="43">
        <f t="shared" si="95"/>
        <v>70.894936734048827</v>
      </c>
      <c r="BI31" s="41" t="str">
        <f t="shared" si="96"/>
        <v>6668,59749857595+19469,0712720625i</v>
      </c>
      <c r="BJ31" s="20">
        <f t="shared" si="97"/>
        <v>86.268687237077444</v>
      </c>
      <c r="BK31" s="43">
        <f t="shared" si="98"/>
        <v>71.092507492777813</v>
      </c>
      <c r="BL31">
        <f t="shared" si="99"/>
        <v>76.333789859775877</v>
      </c>
      <c r="BM31" s="43">
        <f t="shared" si="100"/>
        <v>70.894936734048827</v>
      </c>
    </row>
    <row r="32" spans="1:65" ht="15.75" x14ac:dyDescent="0.25">
      <c r="A32" s="35" t="s">
        <v>476</v>
      </c>
      <c r="E32" s="31" t="s">
        <v>500</v>
      </c>
      <c r="N32" s="9">
        <v>14</v>
      </c>
      <c r="O32" s="34">
        <f t="shared" si="62"/>
        <v>13.803842646028857</v>
      </c>
      <c r="P32" s="33" t="str">
        <f t="shared" si="50"/>
        <v>54,631621870174</v>
      </c>
      <c r="Q32" s="4" t="str">
        <f t="shared" si="63"/>
        <v>1+0,387163440670969i</v>
      </c>
      <c r="R32" s="4">
        <f t="shared" si="64"/>
        <v>1.0723318188845199</v>
      </c>
      <c r="S32" s="4">
        <f t="shared" si="65"/>
        <v>0.36939163509162876</v>
      </c>
      <c r="T32" s="4" t="str">
        <f t="shared" si="51"/>
        <v>1+0,00131138937159775i</v>
      </c>
      <c r="U32" s="4">
        <f t="shared" si="66"/>
        <v>1.0000008598706722</v>
      </c>
      <c r="V32" s="4">
        <f t="shared" si="67"/>
        <v>1.3113886198480287E-3</v>
      </c>
      <c r="W32" t="str">
        <f t="shared" si="52"/>
        <v>1-0,000345136419620619i</v>
      </c>
      <c r="X32" s="4">
        <f t="shared" si="68"/>
        <v>1.0000000595595724</v>
      </c>
      <c r="Y32" s="4">
        <f t="shared" si="69"/>
        <v>-3.4513640591650121E-4</v>
      </c>
      <c r="Z32" t="str">
        <f t="shared" si="53"/>
        <v>0,999999999237816+0,0000474189525778002i</v>
      </c>
      <c r="AA32" s="4">
        <f t="shared" si="70"/>
        <v>1.0000000003620944</v>
      </c>
      <c r="AB32" s="4">
        <f t="shared" si="71"/>
        <v>4.7418952578400761E-5</v>
      </c>
      <c r="AC32" s="47" t="str">
        <f t="shared" si="72"/>
        <v>47,5269989292742-18,3505190398557i</v>
      </c>
      <c r="AD32" s="20">
        <f t="shared" si="73"/>
        <v>34.142306001802652</v>
      </c>
      <c r="AE32" s="43">
        <f t="shared" si="74"/>
        <v>-21.111936410235135</v>
      </c>
      <c r="AF32" t="str">
        <f t="shared" si="54"/>
        <v>171,265703090588</v>
      </c>
      <c r="AG32" t="str">
        <f t="shared" si="55"/>
        <v>1+0,383458279793002i</v>
      </c>
      <c r="AH32">
        <f t="shared" si="75"/>
        <v>1.0709996509531683</v>
      </c>
      <c r="AI32">
        <f t="shared" si="76"/>
        <v>0.36616544984353416</v>
      </c>
      <c r="AJ32" t="str">
        <f t="shared" si="56"/>
        <v>1+0,00131138937159775i</v>
      </c>
      <c r="AK32">
        <f t="shared" si="77"/>
        <v>1.0000008598706722</v>
      </c>
      <c r="AL32">
        <f t="shared" si="78"/>
        <v>1.3113886198480287E-3</v>
      </c>
      <c r="AM32" t="str">
        <f t="shared" si="57"/>
        <v>1-0,000109040517787399i</v>
      </c>
      <c r="AN32">
        <f t="shared" si="79"/>
        <v>1.0000000059449172</v>
      </c>
      <c r="AO32">
        <f t="shared" si="80"/>
        <v>-1.090405173552411E-4</v>
      </c>
      <c r="AP32" s="41" t="str">
        <f t="shared" si="81"/>
        <v>149,379840323805-57,0750154845117i</v>
      </c>
      <c r="AQ32">
        <f t="shared" si="82"/>
        <v>44.077628970283349</v>
      </c>
      <c r="AR32" s="43">
        <f t="shared" si="83"/>
        <v>-20.910845407765375</v>
      </c>
      <c r="AS32" t="str">
        <f t="shared" si="58"/>
        <v>-0,0000166666666666667</v>
      </c>
      <c r="AT32" t="str">
        <f t="shared" si="59"/>
        <v>1,32960311286994E-07i</v>
      </c>
      <c r="AU32">
        <f t="shared" si="84"/>
        <v>1.3296031128699399E-7</v>
      </c>
      <c r="AV32">
        <f t="shared" si="85"/>
        <v>1.5707963267948966</v>
      </c>
      <c r="AW32" t="str">
        <f t="shared" si="60"/>
        <v>1+0,00061612040646774i</v>
      </c>
      <c r="AX32">
        <f t="shared" si="86"/>
        <v>1.0000001898021595</v>
      </c>
      <c r="AY32">
        <f t="shared" si="87"/>
        <v>6.1612032850709452E-4</v>
      </c>
      <c r="AZ32" t="str">
        <f t="shared" si="61"/>
        <v>1+0,0286215934277287i</v>
      </c>
      <c r="BA32">
        <f t="shared" si="88"/>
        <v>1.0004095139543316</v>
      </c>
      <c r="BB32">
        <f t="shared" si="89"/>
        <v>2.8613781705734066E-2</v>
      </c>
      <c r="BC32" s="41" t="str">
        <f t="shared" si="90"/>
        <v>-3,51050401421617+125,352852172849i</v>
      </c>
      <c r="BD32">
        <f t="shared" si="91"/>
        <v>41.966089144369093</v>
      </c>
      <c r="BE32" s="43">
        <f t="shared" si="92"/>
        <v>91.604147833151529</v>
      </c>
      <c r="BF32" s="41" t="str">
        <f t="shared" si="93"/>
        <v>2133,44617997322+6022,06444175283i</v>
      </c>
      <c r="BG32" s="20">
        <f t="shared" si="94"/>
        <v>76.108395146171759</v>
      </c>
      <c r="BH32" s="43">
        <f t="shared" si="95"/>
        <v>70.492211422916398</v>
      </c>
      <c r="BI32" s="41" t="str">
        <f t="shared" si="96"/>
        <v>6630,11744969338+18925,5511126835i</v>
      </c>
      <c r="BJ32" s="20">
        <f t="shared" si="97"/>
        <v>86.043718114652435</v>
      </c>
      <c r="BK32" s="43">
        <f t="shared" si="98"/>
        <v>70.693302425386108</v>
      </c>
      <c r="BL32">
        <f t="shared" si="99"/>
        <v>76.108395146171759</v>
      </c>
      <c r="BM32" s="43">
        <f t="shared" si="100"/>
        <v>70.492211422916398</v>
      </c>
    </row>
    <row r="33" spans="1:65" x14ac:dyDescent="0.25">
      <c r="N33" s="9">
        <v>15</v>
      </c>
      <c r="O33" s="34">
        <f t="shared" si="62"/>
        <v>14.125375446227544</v>
      </c>
      <c r="P33" s="33" t="str">
        <f t="shared" si="50"/>
        <v>54,631621870174</v>
      </c>
      <c r="Q33" s="4" t="str">
        <f t="shared" si="63"/>
        <v>1+0,396181635705908i</v>
      </c>
      <c r="R33" s="4">
        <f t="shared" si="64"/>
        <v>1.0756206991642587</v>
      </c>
      <c r="S33" s="4">
        <f t="shared" si="65"/>
        <v>0.37721035587896939</v>
      </c>
      <c r="T33" s="4" t="str">
        <f t="shared" si="51"/>
        <v>1+0,00134193555410744i</v>
      </c>
      <c r="U33" s="4">
        <f t="shared" si="66"/>
        <v>1.0000009003951102</v>
      </c>
      <c r="V33" s="4">
        <f t="shared" si="67"/>
        <v>1.3419347485931403E-3</v>
      </c>
      <c r="W33" t="str">
        <f t="shared" si="52"/>
        <v>1-0,000353175679578649i</v>
      </c>
      <c r="X33" s="4">
        <f t="shared" si="68"/>
        <v>1.0000000623665284</v>
      </c>
      <c r="Y33" s="4">
        <f t="shared" si="69"/>
        <v>-3.5317566489442229E-4</v>
      </c>
      <c r="Z33" t="str">
        <f t="shared" si="53"/>
        <v>0,999999999201895+0,0000485234818741564i</v>
      </c>
      <c r="AA33" s="4">
        <f t="shared" si="70"/>
        <v>1.0000000003791589</v>
      </c>
      <c r="AB33" s="4">
        <f t="shared" si="71"/>
        <v>4.8523481874799926E-5</v>
      </c>
      <c r="AC33" s="47" t="str">
        <f t="shared" si="72"/>
        <v>47,2375934217763-18,6633003909163i</v>
      </c>
      <c r="AD33" s="20">
        <f t="shared" si="73"/>
        <v>34.115707211398608</v>
      </c>
      <c r="AE33" s="43">
        <f t="shared" si="74"/>
        <v>-21.558689848760267</v>
      </c>
      <c r="AF33" t="str">
        <f t="shared" si="54"/>
        <v>171,265703090588</v>
      </c>
      <c r="AG33" t="str">
        <f t="shared" si="55"/>
        <v>1+0,392390170544211i</v>
      </c>
      <c r="AH33">
        <f t="shared" si="75"/>
        <v>1.0742299781423506</v>
      </c>
      <c r="AI33">
        <f t="shared" si="76"/>
        <v>0.3739290143874851</v>
      </c>
      <c r="AJ33" t="str">
        <f t="shared" si="56"/>
        <v>1+0,00134193555410744i</v>
      </c>
      <c r="AK33">
        <f t="shared" si="77"/>
        <v>1.0000009003951102</v>
      </c>
      <c r="AL33">
        <f t="shared" si="78"/>
        <v>1.3419347485931403E-3</v>
      </c>
      <c r="AM33" t="str">
        <f t="shared" si="57"/>
        <v>1-0,000111580397726511i</v>
      </c>
      <c r="AN33">
        <f t="shared" si="79"/>
        <v>1.0000000062250924</v>
      </c>
      <c r="AO33">
        <f t="shared" si="80"/>
        <v>-1.1158039726344546E-4</v>
      </c>
      <c r="AP33" s="41" t="str">
        <f t="shared" si="81"/>
        <v>148,486013886395-58,053734671404i</v>
      </c>
      <c r="AQ33">
        <f t="shared" si="82"/>
        <v>44.051470552437195</v>
      </c>
      <c r="AR33" s="43">
        <f t="shared" si="83"/>
        <v>-21.354060250252818</v>
      </c>
      <c r="AS33" t="str">
        <f t="shared" si="58"/>
        <v>-0,0000166666666666667</v>
      </c>
      <c r="AT33" t="str">
        <f t="shared" si="59"/>
        <v>1,36057354791449E-07i</v>
      </c>
      <c r="AU33">
        <f t="shared" si="84"/>
        <v>1.36057354791449E-7</v>
      </c>
      <c r="AV33">
        <f t="shared" si="85"/>
        <v>1.5707963267948966</v>
      </c>
      <c r="AW33" t="str">
        <f t="shared" si="60"/>
        <v>1+0,000630471694339608i</v>
      </c>
      <c r="AX33">
        <f t="shared" si="86"/>
        <v>1.0000001987472589</v>
      </c>
      <c r="AY33">
        <f t="shared" si="87"/>
        <v>6.3047161080327229E-4</v>
      </c>
      <c r="AZ33" t="str">
        <f t="shared" si="61"/>
        <v>1+0,0292882759825036i</v>
      </c>
      <c r="BA33">
        <f t="shared" si="88"/>
        <v>1.0004288096161702</v>
      </c>
      <c r="BB33">
        <f t="shared" si="89"/>
        <v>2.9279905765338728E-2</v>
      </c>
      <c r="BC33" s="41" t="str">
        <f t="shared" si="90"/>
        <v>-3,51050395141256+122,499572509952i</v>
      </c>
      <c r="BD33">
        <f t="shared" si="91"/>
        <v>41.766256596440066</v>
      </c>
      <c r="BE33" s="43">
        <f t="shared" si="92"/>
        <v>91.64149166249284</v>
      </c>
      <c r="BF33" s="41" t="str">
        <f t="shared" si="93"/>
        <v>2120,4185611497+5852,10259033523i</v>
      </c>
      <c r="BG33" s="20">
        <f t="shared" si="94"/>
        <v>75.881963807838673</v>
      </c>
      <c r="BH33" s="43">
        <f t="shared" si="95"/>
        <v>70.082801813732587</v>
      </c>
      <c r="BI33" s="41" t="str">
        <f t="shared" si="96"/>
        <v>6590,29694137548+18393,2710897484i</v>
      </c>
      <c r="BJ33" s="20">
        <f t="shared" si="97"/>
        <v>85.817727148877267</v>
      </c>
      <c r="BK33" s="43">
        <f t="shared" si="98"/>
        <v>70.287431412240011</v>
      </c>
      <c r="BL33">
        <f t="shared" si="99"/>
        <v>75.881963807838673</v>
      </c>
      <c r="BM33" s="43">
        <f t="shared" si="100"/>
        <v>70.082801813732587</v>
      </c>
    </row>
    <row r="34" spans="1:65" x14ac:dyDescent="0.25">
      <c r="A34" t="s">
        <v>494</v>
      </c>
      <c r="B34">
        <f>(R_cs*Acs/(2*Lm*Fsw))*(1-(VIN_var/VOUT))*(VIN_var/VOUT)</f>
        <v>8.1666521093545286E-4</v>
      </c>
      <c r="E34" t="s">
        <v>497</v>
      </c>
      <c r="N34" s="9">
        <v>16</v>
      </c>
      <c r="O34" s="34">
        <f t="shared" si="62"/>
        <v>14.454397707459275</v>
      </c>
      <c r="P34" s="33" t="str">
        <f t="shared" si="50"/>
        <v>54,631621870174</v>
      </c>
      <c r="Q34" s="4" t="str">
        <f t="shared" si="63"/>
        <v>1+0,405409891488182i</v>
      </c>
      <c r="R34" s="4">
        <f t="shared" si="64"/>
        <v>1.0790538355969361</v>
      </c>
      <c r="S34" s="4">
        <f t="shared" si="65"/>
        <v>0.38516135921022976</v>
      </c>
      <c r="T34" s="4" t="str">
        <f t="shared" si="51"/>
        <v>1+0,00137319324861053i</v>
      </c>
      <c r="U34" s="4">
        <f t="shared" si="66"/>
        <v>1.0000009428294045</v>
      </c>
      <c r="V34" s="4">
        <f t="shared" si="67"/>
        <v>1.373192385486451E-3</v>
      </c>
      <c r="W34" t="str">
        <f t="shared" si="52"/>
        <v>1-0,000361402197956825i</v>
      </c>
      <c r="X34" s="4">
        <f t="shared" si="68"/>
        <v>1.0000000653057721</v>
      </c>
      <c r="Y34" s="4">
        <f t="shared" si="69"/>
        <v>-3.6140218222239265E-4</v>
      </c>
      <c r="Z34" t="str">
        <f t="shared" si="53"/>
        <v>0,999999999164282+0,0000496537389628864i</v>
      </c>
      <c r="AA34" s="4">
        <f t="shared" si="70"/>
        <v>1.0000000003970286</v>
      </c>
      <c r="AB34" s="4">
        <f t="shared" si="71"/>
        <v>4.9653738963575925E-5</v>
      </c>
      <c r="AC34" s="47" t="str">
        <f t="shared" si="72"/>
        <v>46,9383125559071-18,9766930795634i</v>
      </c>
      <c r="AD34" s="20">
        <f t="shared" si="73"/>
        <v>34.088028372205692</v>
      </c>
      <c r="AE34" s="43">
        <f t="shared" si="74"/>
        <v>-22.012993955548417</v>
      </c>
      <c r="AF34" t="str">
        <f t="shared" si="54"/>
        <v>171,265703090588</v>
      </c>
      <c r="AG34" t="str">
        <f t="shared" si="55"/>
        <v>1+0,401530111757741i</v>
      </c>
      <c r="AH34">
        <f t="shared" si="75"/>
        <v>1.0776021671508387</v>
      </c>
      <c r="AI34">
        <f t="shared" si="76"/>
        <v>0.38182474260601518</v>
      </c>
      <c r="AJ34" t="str">
        <f t="shared" si="56"/>
        <v>1+0,00137319324861053i</v>
      </c>
      <c r="AK34">
        <f t="shared" si="77"/>
        <v>1.0000009428294045</v>
      </c>
      <c r="AL34">
        <f t="shared" si="78"/>
        <v>1.373192385486451E-3</v>
      </c>
      <c r="AM34" t="str">
        <f t="shared" si="57"/>
        <v>1-0,000114179439069438i</v>
      </c>
      <c r="AN34">
        <f t="shared" si="79"/>
        <v>1.0000000065184722</v>
      </c>
      <c r="AO34">
        <f t="shared" si="80"/>
        <v>-1.1417943857325434E-4</v>
      </c>
      <c r="AP34" s="41" t="str">
        <f t="shared" si="81"/>
        <v>147,561496799194-59,034758415628i</v>
      </c>
      <c r="AQ34">
        <f t="shared" si="82"/>
        <v>44.024247159286965</v>
      </c>
      <c r="AR34" s="43">
        <f t="shared" si="83"/>
        <v>-21.804810136783171</v>
      </c>
      <c r="AS34" t="str">
        <f t="shared" si="58"/>
        <v>-0,0000166666666666667</v>
      </c>
      <c r="AT34" t="str">
        <f t="shared" si="59"/>
        <v>1,39226537706346E-07i</v>
      </c>
      <c r="AU34">
        <f t="shared" si="84"/>
        <v>1.3922653770634601E-7</v>
      </c>
      <c r="AV34">
        <f t="shared" si="85"/>
        <v>1.5707963267948966</v>
      </c>
      <c r="AW34" t="str">
        <f t="shared" si="60"/>
        <v>1+0,000645157266649095i</v>
      </c>
      <c r="AX34">
        <f t="shared" si="86"/>
        <v>1.0000002081139276</v>
      </c>
      <c r="AY34">
        <f t="shared" si="87"/>
        <v>6.4515717713829952E-4</v>
      </c>
      <c r="AZ34" t="str">
        <f t="shared" si="61"/>
        <v>1+0,0299704875688807i</v>
      </c>
      <c r="BA34">
        <f t="shared" si="88"/>
        <v>1.0004490142556572</v>
      </c>
      <c r="BB34">
        <f t="shared" si="89"/>
        <v>2.9961518936989017E-2</v>
      </c>
      <c r="BC34" s="41" t="str">
        <f t="shared" si="90"/>
        <v>-3,51050388564912+119,711243741871i</v>
      </c>
      <c r="BD34">
        <f t="shared" si="91"/>
        <v>41.566431933357876</v>
      </c>
      <c r="BE34" s="43">
        <f t="shared" si="92"/>
        <v>91.679703799518165</v>
      </c>
      <c r="BF34" s="41" t="str">
        <f t="shared" si="93"/>
        <v>2106,94640204897+5685,6615300049i</v>
      </c>
      <c r="BG34" s="20">
        <f t="shared" si="94"/>
        <v>75.654460305563575</v>
      </c>
      <c r="BH34" s="43">
        <f t="shared" si="95"/>
        <v>69.666709843969727</v>
      </c>
      <c r="BI34" s="41" t="str">
        <f t="shared" si="96"/>
        <v>6549,10914604994+17872,0120590501i</v>
      </c>
      <c r="BJ34" s="20">
        <f t="shared" si="97"/>
        <v>85.590679092644862</v>
      </c>
      <c r="BK34" s="43">
        <f t="shared" si="98"/>
        <v>69.874893662735062</v>
      </c>
      <c r="BL34">
        <f t="shared" si="99"/>
        <v>75.654460305563575</v>
      </c>
      <c r="BM34" s="43">
        <f t="shared" si="100"/>
        <v>69.666709843969727</v>
      </c>
    </row>
    <row r="35" spans="1:65" x14ac:dyDescent="0.25">
      <c r="A35" t="s">
        <v>495</v>
      </c>
      <c r="B35">
        <f>1/((0.5-(1-(VIN_var/VOUT)))*(R_cs*Acs/(Lm*Fsw))+(Vsl*Acs/VOUT))</f>
        <v>182.90598290598294</v>
      </c>
      <c r="E35" t="s">
        <v>497</v>
      </c>
      <c r="N35" s="9">
        <v>17</v>
      </c>
      <c r="O35" s="34">
        <f t="shared" si="62"/>
        <v>14.791083881682074</v>
      </c>
      <c r="P35" s="33" t="str">
        <f t="shared" si="50"/>
        <v>54,631621870174</v>
      </c>
      <c r="Q35" s="4" t="str">
        <f t="shared" si="63"/>
        <v>1+0,414853100961157i</v>
      </c>
      <c r="R35" s="4">
        <f t="shared" si="64"/>
        <v>1.0826371023464363</v>
      </c>
      <c r="S35" s="4">
        <f t="shared" si="65"/>
        <v>0.39324483857313036</v>
      </c>
      <c r="T35" s="4" t="str">
        <f t="shared" si="51"/>
        <v>1+0,0014051790283504i</v>
      </c>
      <c r="U35" s="4">
        <f t="shared" si="66"/>
        <v>1.0000009872635636</v>
      </c>
      <c r="V35" s="4">
        <f t="shared" si="67"/>
        <v>1.4051781034963358E-3</v>
      </c>
      <c r="W35" t="str">
        <f t="shared" si="52"/>
        <v>1-0,000369820336564081i</v>
      </c>
      <c r="X35" s="4">
        <f t="shared" si="68"/>
        <v>1.0000000683835384</v>
      </c>
      <c r="Y35" s="4">
        <f t="shared" si="69"/>
        <v>-3.6982031970433303E-4</v>
      </c>
      <c r="Z35" t="str">
        <f t="shared" si="53"/>
        <v>0,999999999124895+0,0000508103231212595i</v>
      </c>
      <c r="AA35" s="4">
        <f t="shared" si="70"/>
        <v>1.0000000004157392</v>
      </c>
      <c r="AB35" s="4">
        <f t="shared" si="71"/>
        <v>5.0810323121998386E-5</v>
      </c>
      <c r="AC35" s="47" t="str">
        <f t="shared" si="72"/>
        <v>46,6289758609129-19,2903877578896i</v>
      </c>
      <c r="AD35" s="20">
        <f t="shared" si="73"/>
        <v>34.059232912485484</v>
      </c>
      <c r="AE35" s="43">
        <f t="shared" si="74"/>
        <v>-22.474859151317037</v>
      </c>
      <c r="AF35" t="str">
        <f t="shared" si="54"/>
        <v>171,265703090588</v>
      </c>
      <c r="AG35" t="str">
        <f t="shared" si="55"/>
        <v>1+0,410882949551405i</v>
      </c>
      <c r="AH35">
        <f t="shared" si="75"/>
        <v>1.0811220089481401</v>
      </c>
      <c r="AI35">
        <f t="shared" si="76"/>
        <v>0.38985288196759571</v>
      </c>
      <c r="AJ35" t="str">
        <f t="shared" si="56"/>
        <v>1+0,0014051790283504i</v>
      </c>
      <c r="AK35">
        <f t="shared" si="77"/>
        <v>1.0000009872635636</v>
      </c>
      <c r="AL35">
        <f t="shared" si="78"/>
        <v>1.4051781034963358E-3</v>
      </c>
      <c r="AM35" t="str">
        <f t="shared" si="57"/>
        <v>1-0,000116839019862303i</v>
      </c>
      <c r="AN35">
        <f t="shared" si="79"/>
        <v>1.0000000068256782</v>
      </c>
      <c r="AO35">
        <f t="shared" si="80"/>
        <v>-1.1683901933063263E-4</v>
      </c>
      <c r="AP35" s="41" t="str">
        <f t="shared" si="81"/>
        <v>146,605712128213-60,017138962951i</v>
      </c>
      <c r="AQ35">
        <f t="shared" si="82"/>
        <v>43.995922498482862</v>
      </c>
      <c r="AR35" s="43">
        <f t="shared" si="83"/>
        <v>-22.263108375650663</v>
      </c>
      <c r="AS35" t="str">
        <f t="shared" si="58"/>
        <v>-0,0000166666666666667</v>
      </c>
      <c r="AT35" t="str">
        <f t="shared" si="59"/>
        <v>1,42469540374416E-07i</v>
      </c>
      <c r="AU35">
        <f t="shared" si="84"/>
        <v>1.4246954037441599E-7</v>
      </c>
      <c r="AV35">
        <f t="shared" si="85"/>
        <v>1.5707963267948966</v>
      </c>
      <c r="AW35" t="str">
        <f t="shared" si="60"/>
        <v>1+0,000660184909881024i</v>
      </c>
      <c r="AX35">
        <f t="shared" si="86"/>
        <v>1.000000217922034</v>
      </c>
      <c r="AY35">
        <f t="shared" si="87"/>
        <v>6.6018481396847982E-4</v>
      </c>
      <c r="AZ35" t="str">
        <f t="shared" si="61"/>
        <v>1+0,030668589904473i</v>
      </c>
      <c r="BA35">
        <f t="shared" si="88"/>
        <v>1.0004701706731334</v>
      </c>
      <c r="BB35">
        <f t="shared" si="89"/>
        <v>3.0658980086160123E-2</v>
      </c>
      <c r="BC35" s="41" t="str">
        <f t="shared" si="90"/>
        <v>-3,51050381678634+116,986387459783i</v>
      </c>
      <c r="BD35">
        <f t="shared" si="91"/>
        <v>41.366615526056151</v>
      </c>
      <c r="BE35" s="43">
        <f t="shared" si="92"/>
        <v>91.718804359573568</v>
      </c>
      <c r="BF35" s="41" t="str">
        <f t="shared" si="93"/>
        <v>2093,02157876136+5522,67441676899i</v>
      </c>
      <c r="BG35" s="20">
        <f t="shared" si="94"/>
        <v>75.425848438541635</v>
      </c>
      <c r="BH35" s="43">
        <f t="shared" si="95"/>
        <v>69.24394520825652</v>
      </c>
      <c r="BI35" s="41" t="str">
        <f t="shared" si="96"/>
        <v>6506,52836095865+17361,5630382506i</v>
      </c>
      <c r="BJ35" s="20">
        <f t="shared" si="97"/>
        <v>85.36253802453902</v>
      </c>
      <c r="BK35" s="43">
        <f t="shared" si="98"/>
        <v>69.455695983922965</v>
      </c>
      <c r="BL35">
        <f t="shared" si="99"/>
        <v>75.425848438541635</v>
      </c>
      <c r="BM35" s="43">
        <f t="shared" si="100"/>
        <v>69.24394520825652</v>
      </c>
    </row>
    <row r="36" spans="1:65" x14ac:dyDescent="0.25">
      <c r="A36" t="s">
        <v>496</v>
      </c>
      <c r="B36">
        <f>2+((VOUT*((VIN_var/VOUT)^2))/(IOUT_VAR*R_cs*Acs))*((1/Km)+(Kex/(VIN_var/VOUT)))</f>
        <v>2.2372065488494872</v>
      </c>
      <c r="E36" t="s">
        <v>497</v>
      </c>
      <c r="N36" s="9">
        <v>18</v>
      </c>
      <c r="O36" s="34">
        <f t="shared" si="62"/>
        <v>15.135612484362087</v>
      </c>
      <c r="P36" s="33" t="str">
        <f t="shared" si="50"/>
        <v>54,631621870174</v>
      </c>
      <c r="Q36" s="4" t="str">
        <f t="shared" si="63"/>
        <v>1+0,424516271039493i</v>
      </c>
      <c r="R36" s="4">
        <f t="shared" si="64"/>
        <v>1.0863765757679407</v>
      </c>
      <c r="S36" s="4">
        <f t="shared" si="65"/>
        <v>0.40146085332219333</v>
      </c>
      <c r="T36" s="4" t="str">
        <f t="shared" si="51"/>
        <v>1+0,00143790985261085i</v>
      </c>
      <c r="U36" s="4">
        <f t="shared" si="66"/>
        <v>1.0000010337918377</v>
      </c>
      <c r="V36" s="4">
        <f t="shared" si="67"/>
        <v>1.437908861611921E-3</v>
      </c>
      <c r="W36" t="str">
        <f t="shared" si="52"/>
        <v>1-0,000378434558808934i</v>
      </c>
      <c r="X36" s="4">
        <f t="shared" si="68"/>
        <v>1.0000000716063551</v>
      </c>
      <c r="Y36" s="4">
        <f t="shared" si="69"/>
        <v>-3.7843454074338863E-4</v>
      </c>
      <c r="Z36" t="str">
        <f t="shared" si="53"/>
        <v>0,999999999083653+0,0000519938475855056i</v>
      </c>
      <c r="AA36" s="4">
        <f t="shared" si="70"/>
        <v>1.0000000004353331</v>
      </c>
      <c r="AB36" s="4">
        <f t="shared" si="71"/>
        <v>5.1993847586297306E-5</v>
      </c>
      <c r="AC36" s="47" t="str">
        <f t="shared" si="72"/>
        <v>46,3094125728645-19,6040587956976i</v>
      </c>
      <c r="AD36" s="20">
        <f t="shared" si="73"/>
        <v>34.029283615727365</v>
      </c>
      <c r="AE36" s="43">
        <f t="shared" si="74"/>
        <v>-22.944288156021379</v>
      </c>
      <c r="AF36" t="str">
        <f t="shared" si="54"/>
        <v>171,265703090588</v>
      </c>
      <c r="AG36" t="str">
        <f t="shared" si="55"/>
        <v>1+0,420453642923599i</v>
      </c>
      <c r="AH36">
        <f t="shared" si="75"/>
        <v>1.0847954949425838</v>
      </c>
      <c r="AI36">
        <f t="shared" si="76"/>
        <v>0.3980135486803274</v>
      </c>
      <c r="AJ36" t="str">
        <f t="shared" si="56"/>
        <v>1+0,00143790985261085i</v>
      </c>
      <c r="AK36">
        <f t="shared" si="77"/>
        <v>1.0000010337918377</v>
      </c>
      <c r="AL36">
        <f t="shared" si="78"/>
        <v>1.437908861611921E-3</v>
      </c>
      <c r="AM36" t="str">
        <f t="shared" si="57"/>
        <v>1-0,000119560550250047i</v>
      </c>
      <c r="AN36">
        <f t="shared" si="79"/>
        <v>1.0000000071473625</v>
      </c>
      <c r="AO36">
        <f t="shared" si="80"/>
        <v>-1.1956054968035194E-4</v>
      </c>
      <c r="AP36" s="41" t="str">
        <f t="shared" si="81"/>
        <v>145,618111796075-60,9998775601277i</v>
      </c>
      <c r="AQ36">
        <f t="shared" si="82"/>
        <v>43.966459618405295</v>
      </c>
      <c r="AR36" s="43">
        <f t="shared" si="83"/>
        <v>-22.728960734205575</v>
      </c>
      <c r="AS36" t="str">
        <f t="shared" si="58"/>
        <v>-0,0000166666666666667</v>
      </c>
      <c r="AT36" t="str">
        <f t="shared" si="59"/>
        <v>0,0000001457880822786i</v>
      </c>
      <c r="AU36">
        <f t="shared" si="84"/>
        <v>1.457880822786E-7</v>
      </c>
      <c r="AV36">
        <f t="shared" si="85"/>
        <v>1.5707963267948966</v>
      </c>
      <c r="AW36" t="str">
        <f t="shared" si="60"/>
        <v>1+0,000675562591890754i</v>
      </c>
      <c r="AX36">
        <f t="shared" si="86"/>
        <v>1.0000002281923817</v>
      </c>
      <c r="AY36">
        <f t="shared" si="87"/>
        <v>6.7556248911861247E-4</v>
      </c>
      <c r="AZ36" t="str">
        <f t="shared" si="61"/>
        <v>1+0,0313829531323796i</v>
      </c>
      <c r="BA36">
        <f t="shared" si="88"/>
        <v>1.0004923236823504</v>
      </c>
      <c r="BB36">
        <f t="shared" si="89"/>
        <v>3.1372656300181608E-2</v>
      </c>
      <c r="BC36" s="41" t="str">
        <f t="shared" si="90"/>
        <v>-3,51050374467817+114,323558908819i</v>
      </c>
      <c r="BD36">
        <f t="shared" si="91"/>
        <v>41.166807762885867</v>
      </c>
      <c r="BE36" s="43">
        <f t="shared" si="92"/>
        <v>91.758813918691061</v>
      </c>
      <c r="BF36" s="41" t="str">
        <f t="shared" si="93"/>
        <v>2078,636404331+5363,07697811987i</v>
      </c>
      <c r="BG36" s="20">
        <f t="shared" si="94"/>
        <v>75.196091378613247</v>
      </c>
      <c r="BH36" s="43">
        <f t="shared" si="95"/>
        <v>68.814525762669703</v>
      </c>
      <c r="BI36" s="41" t="str">
        <f t="shared" si="96"/>
        <v>6462,53016892292+16861,7210807093i</v>
      </c>
      <c r="BJ36" s="20">
        <f t="shared" si="97"/>
        <v>85.133267381291162</v>
      </c>
      <c r="BK36" s="43">
        <f t="shared" si="98"/>
        <v>69.029853184485475</v>
      </c>
      <c r="BL36">
        <f t="shared" si="99"/>
        <v>75.196091378613247</v>
      </c>
      <c r="BM36" s="43">
        <f t="shared" si="100"/>
        <v>68.814525762669703</v>
      </c>
    </row>
    <row r="37" spans="1:65" x14ac:dyDescent="0.25">
      <c r="N37" s="9">
        <v>19</v>
      </c>
      <c r="O37" s="34">
        <f t="shared" si="62"/>
        <v>15.488166189124817</v>
      </c>
      <c r="P37" s="33" t="str">
        <f t="shared" si="50"/>
        <v>54,631621870174</v>
      </c>
      <c r="Q37" s="4" t="str">
        <f t="shared" si="63"/>
        <v>1+0,43440452526387i</v>
      </c>
      <c r="R37" s="4">
        <f t="shared" si="64"/>
        <v>1.0902785385256963</v>
      </c>
      <c r="S37" s="4">
        <f t="shared" si="65"/>
        <v>0.40980932180807061</v>
      </c>
      <c r="T37" s="4" t="str">
        <f t="shared" si="51"/>
        <v>1+0,00147140307570813i</v>
      </c>
      <c r="U37" s="4">
        <f t="shared" si="66"/>
        <v>1.0000010825129197</v>
      </c>
      <c r="V37" s="4">
        <f t="shared" si="67"/>
        <v>1.4714020138337082E-3</v>
      </c>
      <c r="W37" t="str">
        <f t="shared" si="52"/>
        <v>1-0,000387249432066041i</v>
      </c>
      <c r="X37" s="4">
        <f t="shared" si="68"/>
        <v>1.0000000749810585</v>
      </c>
      <c r="Y37" s="4">
        <f t="shared" si="69"/>
        <v>-3.8724941270846044E-4</v>
      </c>
      <c r="Z37" t="str">
        <f t="shared" si="53"/>
        <v>0,999999999040467+0,0000532049398759615i</v>
      </c>
      <c r="AA37" s="4">
        <f t="shared" si="70"/>
        <v>1.0000000004558496</v>
      </c>
      <c r="AB37" s="4">
        <f t="shared" si="71"/>
        <v>5.3204939876809817E-5</v>
      </c>
      <c r="AC37" s="47" t="str">
        <f t="shared" si="72"/>
        <v>45,9794628505283-19,9173643334842i</v>
      </c>
      <c r="AD37" s="20">
        <f t="shared" si="73"/>
        <v>33.998142658488817</v>
      </c>
      <c r="AE37" s="43">
        <f t="shared" si="74"/>
        <v>-23.421275594832597</v>
      </c>
      <c r="AF37" t="str">
        <f t="shared" si="54"/>
        <v>171,265703090588</v>
      </c>
      <c r="AG37" t="str">
        <f t="shared" si="55"/>
        <v>1+0,430247266382634i</v>
      </c>
      <c r="AH37">
        <f t="shared" si="75"/>
        <v>1.0886288211459998</v>
      </c>
      <c r="AI37">
        <f t="shared" si="76"/>
        <v>0.4063067208149575</v>
      </c>
      <c r="AJ37" t="str">
        <f t="shared" si="56"/>
        <v>1+0,00147140307570813i</v>
      </c>
      <c r="AK37">
        <f t="shared" si="77"/>
        <v>1.0000010825129197</v>
      </c>
      <c r="AL37">
        <f t="shared" si="78"/>
        <v>1.4714020138337082E-3</v>
      </c>
      <c r="AM37" t="str">
        <f t="shared" si="57"/>
        <v>1-0,000122345473224104i</v>
      </c>
      <c r="AN37">
        <f t="shared" si="79"/>
        <v>1.0000000074842073</v>
      </c>
      <c r="AO37">
        <f t="shared" si="80"/>
        <v>-1.2234547261366472E-4</v>
      </c>
      <c r="AP37" s="41" t="str">
        <f t="shared" si="81"/>
        <v>144,598180334468-61,9819245140088i</v>
      </c>
      <c r="AQ37">
        <f t="shared" si="82"/>
        <v>43.935820944155004</v>
      </c>
      <c r="AR37" s="43">
        <f t="shared" si="83"/>
        <v>-23.202365044360853</v>
      </c>
      <c r="AS37" t="str">
        <f t="shared" si="58"/>
        <v>-0,0000166666666666667</v>
      </c>
      <c r="AT37" t="str">
        <f t="shared" si="59"/>
        <v>1,49183922953741E-07i</v>
      </c>
      <c r="AU37">
        <f t="shared" si="84"/>
        <v>1.49183922953741E-7</v>
      </c>
      <c r="AV37">
        <f t="shared" si="85"/>
        <v>1.5707963267948966</v>
      </c>
      <c r="AW37" t="str">
        <f t="shared" si="60"/>
        <v>1+0,000691298466128831i</v>
      </c>
      <c r="AX37">
        <f t="shared" si="86"/>
        <v>1.0000002389467559</v>
      </c>
      <c r="AY37">
        <f t="shared" si="87"/>
        <v>6.9129835600649872E-4</v>
      </c>
      <c r="AZ37" t="str">
        <f t="shared" si="61"/>
        <v>1+0,0321139560174394i</v>
      </c>
      <c r="BA37">
        <f t="shared" si="88"/>
        <v>1.0005155202050042</v>
      </c>
      <c r="BB37">
        <f t="shared" si="89"/>
        <v>3.2102923069970292E-2</v>
      </c>
      <c r="BC37" s="41" t="str">
        <f t="shared" si="90"/>
        <v>-3,51050366917166+111,721346222036i</v>
      </c>
      <c r="BD37">
        <f t="shared" si="91"/>
        <v>40.967009050430079</v>
      </c>
      <c r="BE37" s="43">
        <f t="shared" si="92"/>
        <v>91.799753523758952</v>
      </c>
      <c r="BF37" s="41" t="str">
        <f t="shared" si="93"/>
        <v>2063,7836834883+5206,80746880004i</v>
      </c>
      <c r="BG37" s="20">
        <f t="shared" si="94"/>
        <v>74.96515170891891</v>
      </c>
      <c r="BH37" s="43">
        <f t="shared" si="95"/>
        <v>68.378477928926344</v>
      </c>
      <c r="BI37" s="41" t="str">
        <f t="shared" si="96"/>
        <v>6417,09160551798+16372,2911416522i</v>
      </c>
      <c r="BJ37" s="20">
        <f t="shared" si="97"/>
        <v>84.902829994585076</v>
      </c>
      <c r="BK37" s="43">
        <f t="shared" si="98"/>
        <v>68.597388479398063</v>
      </c>
      <c r="BL37">
        <f t="shared" si="99"/>
        <v>74.96515170891891</v>
      </c>
      <c r="BM37" s="43">
        <f t="shared" si="100"/>
        <v>68.378477928926344</v>
      </c>
    </row>
    <row r="38" spans="1:65" x14ac:dyDescent="0.25">
      <c r="A38" t="s">
        <v>200</v>
      </c>
      <c r="B38" s="16">
        <f>(Gcomp*(VIN_var/VOUT)*(VOUT/IOUT))/(Kd*R_cs*Acs/Np)</f>
        <v>54.631621870174037</v>
      </c>
      <c r="C38" t="s">
        <v>150</v>
      </c>
      <c r="E38" t="s">
        <v>204</v>
      </c>
      <c r="N38" s="9">
        <v>20</v>
      </c>
      <c r="O38" s="34">
        <f t="shared" si="62"/>
        <v>15.848931924611136</v>
      </c>
      <c r="P38" s="33" t="str">
        <f t="shared" si="50"/>
        <v>54,631621870174</v>
      </c>
      <c r="Q38" s="4" t="str">
        <f t="shared" si="63"/>
        <v>1+0,444523106517566i</v>
      </c>
      <c r="R38" s="4">
        <f t="shared" si="64"/>
        <v>1.0943494835874084</v>
      </c>
      <c r="S38" s="4">
        <f t="shared" si="65"/>
        <v>0.41829001454731896</v>
      </c>
      <c r="T38" s="4" t="str">
        <f t="shared" si="51"/>
        <v>1+0,00150567645619248i</v>
      </c>
      <c r="U38" s="4">
        <f t="shared" si="66"/>
        <v>1.0000011335301529</v>
      </c>
      <c r="V38" s="4">
        <f t="shared" si="67"/>
        <v>1.5056753183736069E-3</v>
      </c>
      <c r="W38" t="str">
        <f t="shared" si="52"/>
        <v>1-0,000396269630097882i</v>
      </c>
      <c r="X38" s="4">
        <f t="shared" si="68"/>
        <v>1.0000000785148069</v>
      </c>
      <c r="Y38" s="4">
        <f t="shared" si="69"/>
        <v>-3.9626960935586084E-4</v>
      </c>
      <c r="Z38" t="str">
        <f t="shared" si="53"/>
        <v>0,999999998995245+0,0000544442421297903i</v>
      </c>
      <c r="AA38" s="4">
        <f t="shared" si="70"/>
        <v>1.0000000004773328</v>
      </c>
      <c r="AB38" s="4">
        <f t="shared" si="71"/>
        <v>5.444424213069933E-5</v>
      </c>
      <c r="AC38" s="47" t="str">
        <f t="shared" si="72"/>
        <v>45,6389790308905-20,2299464220177i</v>
      </c>
      <c r="AD38" s="20">
        <f t="shared" si="73"/>
        <v>33.965771652771508</v>
      </c>
      <c r="AE38" s="43">
        <f t="shared" si="74"/>
        <v>-23.905807606425579</v>
      </c>
      <c r="AF38" t="str">
        <f t="shared" si="54"/>
        <v>171,265703090588</v>
      </c>
      <c r="AG38" t="str">
        <f t="shared" si="55"/>
        <v>1+0,4402690126373i</v>
      </c>
      <c r="AH38">
        <f t="shared" si="75"/>
        <v>1.0926283922215381</v>
      </c>
      <c r="AI38">
        <f t="shared" si="76"/>
        <v>0.4147322314532963</v>
      </c>
      <c r="AJ38" t="str">
        <f t="shared" si="56"/>
        <v>1+0,00150567645619248i</v>
      </c>
      <c r="AK38">
        <f t="shared" si="77"/>
        <v>1.0000011335301529</v>
      </c>
      <c r="AL38">
        <f t="shared" si="78"/>
        <v>1.5056753183736069E-3</v>
      </c>
      <c r="AM38" t="str">
        <f t="shared" si="57"/>
        <v>1-0,000125195265387498i</v>
      </c>
      <c r="AN38">
        <f t="shared" si="79"/>
        <v>1.0000000078369271</v>
      </c>
      <c r="AO38">
        <f t="shared" si="80"/>
        <v>-1.2519526473340055E-4</v>
      </c>
      <c r="AP38" s="41" t="str">
        <f t="shared" si="81"/>
        <v>143,545438767163-62,9621795128605i</v>
      </c>
      <c r="AQ38">
        <f t="shared" si="82"/>
        <v>43.903968318017228</v>
      </c>
      <c r="AR38" s="43">
        <f t="shared" si="83"/>
        <v>-23.683310809541172</v>
      </c>
      <c r="AS38" t="str">
        <f t="shared" si="58"/>
        <v>-0,0000166666666666667</v>
      </c>
      <c r="AT38" t="str">
        <f t="shared" si="59"/>
        <v>1,52658862919515E-07i</v>
      </c>
      <c r="AU38">
        <f t="shared" si="84"/>
        <v>1.5265886291951501E-7</v>
      </c>
      <c r="AV38">
        <f t="shared" si="85"/>
        <v>1.5707963267948966</v>
      </c>
      <c r="AW38" t="str">
        <f t="shared" si="60"/>
        <v>1+0,000707400875964067i</v>
      </c>
      <c r="AX38">
        <f t="shared" si="86"/>
        <v>1.0000002502079683</v>
      </c>
      <c r="AY38">
        <f t="shared" si="87"/>
        <v>7.0740075796586364E-4</v>
      </c>
      <c r="AZ38" t="str">
        <f t="shared" si="61"/>
        <v>1+0,032861986147058i</v>
      </c>
      <c r="BA38">
        <f t="shared" si="88"/>
        <v>1.0005398093696869</v>
      </c>
      <c r="BB38">
        <f t="shared" si="89"/>
        <v>3.2850164475302999E-2</v>
      </c>
      <c r="BC38" s="41" t="str">
        <f t="shared" si="90"/>
        <v>-3,51050359010662+109,178369671822i</v>
      </c>
      <c r="BD38">
        <f t="shared" si="91"/>
        <v>40.767219814356032</v>
      </c>
      <c r="BE38" s="43">
        <f t="shared" si="92"/>
        <v>91.841644702889639</v>
      </c>
      <c r="BF38" s="41" t="str">
        <f t="shared" si="93"/>
        <v>2048,45676916746+5053,80662362125i</v>
      </c>
      <c r="BG38" s="20">
        <f t="shared" si="94"/>
        <v>74.732991467127533</v>
      </c>
      <c r="BH38" s="43">
        <f t="shared" si="95"/>
        <v>67.935837096464041</v>
      </c>
      <c r="BI38" s="41" t="str">
        <f t="shared" si="96"/>
        <v>6370,19133206315+15893,085935646i</v>
      </c>
      <c r="BJ38" s="20">
        <f t="shared" si="97"/>
        <v>84.671188132373231</v>
      </c>
      <c r="BK38" s="43">
        <f t="shared" si="98"/>
        <v>68.158333893348413</v>
      </c>
      <c r="BL38">
        <f t="shared" si="99"/>
        <v>74.732991467127533</v>
      </c>
      <c r="BM38" s="43">
        <f t="shared" si="100"/>
        <v>67.935837096464041</v>
      </c>
    </row>
    <row r="39" spans="1:65" x14ac:dyDescent="0.25">
      <c r="A39" t="s">
        <v>217</v>
      </c>
      <c r="B39" s="18">
        <f>Kd/(Cout*(VOUT/IOUT_VAR))</f>
        <v>224.01934734807955</v>
      </c>
      <c r="C39" t="s">
        <v>216</v>
      </c>
      <c r="E39" t="s">
        <v>207</v>
      </c>
      <c r="N39" s="9">
        <v>21</v>
      </c>
      <c r="O39" s="34">
        <f t="shared" si="62"/>
        <v>16.218100973589298</v>
      </c>
      <c r="P39" s="33" t="str">
        <f t="shared" si="50"/>
        <v>54,631621870174</v>
      </c>
      <c r="Q39" s="4" t="str">
        <f t="shared" si="63"/>
        <v>1+0,454877379806295i</v>
      </c>
      <c r="R39" s="4">
        <f t="shared" si="64"/>
        <v>1.0985961180795425</v>
      </c>
      <c r="S39" s="4">
        <f t="shared" si="65"/>
        <v>0.42690254747062395</v>
      </c>
      <c r="T39" s="4" t="str">
        <f t="shared" si="51"/>
        <v>1+0,00154074816626388i</v>
      </c>
      <c r="U39" s="4">
        <f t="shared" si="66"/>
        <v>1.0000011869517516</v>
      </c>
      <c r="V39" s="4">
        <f t="shared" si="67"/>
        <v>1.54074694706907E-3</v>
      </c>
      <c r="W39" t="str">
        <f t="shared" si="52"/>
        <v>1-0,000405499935532848i</v>
      </c>
      <c r="X39" s="4">
        <f t="shared" si="68"/>
        <v>1.0000000822150954</v>
      </c>
      <c r="Y39" s="4">
        <f t="shared" si="69"/>
        <v>-4.0549991330737198E-4</v>
      </c>
      <c r="Z39" t="str">
        <f t="shared" si="53"/>
        <v>0,999999998947893+0,0000557124114414508i</v>
      </c>
      <c r="AA39" s="4">
        <f t="shared" si="70"/>
        <v>1.0000000004998293</v>
      </c>
      <c r="AB39" s="4">
        <f t="shared" si="71"/>
        <v>5.5712411442424806E-5</v>
      </c>
      <c r="AC39" s="47" t="str">
        <f t="shared" si="72"/>
        <v>45,2878269188739-20,5414312553294i</v>
      </c>
      <c r="AD39" s="20">
        <f t="shared" si="73"/>
        <v>33.93213169306933</v>
      </c>
      <c r="AE39" s="43">
        <f t="shared" si="74"/>
        <v>-24.397861455752864</v>
      </c>
      <c r="AF39" t="str">
        <f t="shared" si="54"/>
        <v>171,265703090588</v>
      </c>
      <c r="AG39" t="str">
        <f t="shared" si="55"/>
        <v>1+0,450524195350115i</v>
      </c>
      <c r="AH39">
        <f t="shared" si="75"/>
        <v>1.0968008253989729</v>
      </c>
      <c r="AI39">
        <f t="shared" si="76"/>
        <v>0.42328976189887613</v>
      </c>
      <c r="AJ39" t="str">
        <f t="shared" si="56"/>
        <v>1+0,00154074816626388i</v>
      </c>
      <c r="AK39">
        <f t="shared" si="77"/>
        <v>1.0000011869517516</v>
      </c>
      <c r="AL39">
        <f t="shared" si="78"/>
        <v>1.54074694706907E-3</v>
      </c>
      <c r="AM39" t="str">
        <f t="shared" si="57"/>
        <v>1-0,000128111437737755i</v>
      </c>
      <c r="AN39">
        <f t="shared" si="79"/>
        <v>1.0000000082062701</v>
      </c>
      <c r="AO39">
        <f t="shared" si="80"/>
        <v>-1.2811143703687696E-4</v>
      </c>
      <c r="AP39" s="41" t="str">
        <f t="shared" si="81"/>
        <v>142,459448607623-63,9394922314478i</v>
      </c>
      <c r="AQ39">
        <f t="shared" si="82"/>
        <v>43.870863044543562</v>
      </c>
      <c r="AR39" s="43">
        <f t="shared" si="83"/>
        <v>-24.17177881518797</v>
      </c>
      <c r="AS39" t="str">
        <f t="shared" si="58"/>
        <v>-0,0000166666666666667</v>
      </c>
      <c r="AT39" t="str">
        <f t="shared" si="59"/>
        <v>1,56214744635088E-07i</v>
      </c>
      <c r="AU39">
        <f t="shared" si="84"/>
        <v>1.5621474463508799E-7</v>
      </c>
      <c r="AV39">
        <f t="shared" si="85"/>
        <v>1.5707963267948966</v>
      </c>
      <c r="AW39" t="str">
        <f t="shared" si="60"/>
        <v>1+0,000723878359107295i</v>
      </c>
      <c r="AX39">
        <f t="shared" si="86"/>
        <v>1.0000002619999051</v>
      </c>
      <c r="AY39">
        <f t="shared" si="87"/>
        <v>7.2387823266994392E-4</v>
      </c>
      <c r="AZ39" t="str">
        <f t="shared" si="61"/>
        <v>1+0,0336274401367116i</v>
      </c>
      <c r="BA39">
        <f t="shared" si="88"/>
        <v>1.000565242615467</v>
      </c>
      <c r="BB39">
        <f t="shared" si="89"/>
        <v>3.3614773373659798E-2</v>
      </c>
      <c r="BC39" s="41" t="str">
        <f t="shared" si="90"/>
        <v>-3,51050350731536+106,693280938349i</v>
      </c>
      <c r="BD39">
        <f t="shared" si="91"/>
        <v>40.567440500307292</v>
      </c>
      <c r="BE39" s="43">
        <f t="shared" si="92"/>
        <v>91.88450947598605</v>
      </c>
      <c r="BF39" s="41" t="str">
        <f t="shared" si="93"/>
        <v>2032,64962056324+4904,01760700985i</v>
      </c>
      <c r="BG39" s="20">
        <f t="shared" si="94"/>
        <v>74.499572193376608</v>
      </c>
      <c r="BH39" s="43">
        <f t="shared" si="95"/>
        <v>67.486648020233261</v>
      </c>
      <c r="BI39" s="41" t="str">
        <f t="shared" si="96"/>
        <v>6321,80981371797+15423,9257843499i</v>
      </c>
      <c r="BJ39" s="20">
        <f t="shared" si="97"/>
        <v>84.438303544850854</v>
      </c>
      <c r="BK39" s="43">
        <f t="shared" si="98"/>
        <v>67.71273066079813</v>
      </c>
      <c r="BL39">
        <f t="shared" si="99"/>
        <v>74.499572193376608</v>
      </c>
      <c r="BM39" s="43">
        <f t="shared" si="100"/>
        <v>67.486648020233261</v>
      </c>
    </row>
    <row r="40" spans="1:65" x14ac:dyDescent="0.25">
      <c r="B40" s="17">
        <f>wp_lf/(2*PI())</f>
        <v>35.653786478667136</v>
      </c>
      <c r="C40" t="s">
        <v>65</v>
      </c>
      <c r="N40" s="9">
        <v>22</v>
      </c>
      <c r="O40" s="34">
        <f t="shared" si="62"/>
        <v>16.595869074375614</v>
      </c>
      <c r="P40" s="33" t="str">
        <f t="shared" si="50"/>
        <v>54,631621870174</v>
      </c>
      <c r="Q40" s="4" t="str">
        <f t="shared" si="63"/>
        <v>1+0,465472835102815i</v>
      </c>
      <c r="R40" s="4">
        <f t="shared" si="64"/>
        <v>1.1030253669878369</v>
      </c>
      <c r="S40" s="4">
        <f t="shared" si="65"/>
        <v>0.43564637529037742</v>
      </c>
      <c r="T40" s="4" t="str">
        <f t="shared" si="51"/>
        <v>1+0,00157663680140726i</v>
      </c>
      <c r="U40" s="4">
        <f t="shared" si="66"/>
        <v>1.0000012428910294</v>
      </c>
      <c r="V40" s="4">
        <f t="shared" si="67"/>
        <v>1.5766354950165718E-3</v>
      </c>
      <c r="W40" t="str">
        <f t="shared" si="52"/>
        <v>1-0,000414945242401062i</v>
      </c>
      <c r="X40" s="4">
        <f t="shared" si="68"/>
        <v>1.0000000860897733</v>
      </c>
      <c r="Y40" s="4">
        <f t="shared" si="69"/>
        <v>-4.1494521858603551E-4</v>
      </c>
      <c r="Z40" t="str">
        <f t="shared" si="53"/>
        <v>0,999999998898308+0,000057010120211099i</v>
      </c>
      <c r="AA40" s="4">
        <f t="shared" si="70"/>
        <v>1.0000000005233849</v>
      </c>
      <c r="AB40" s="4">
        <f t="shared" si="71"/>
        <v>5.7010120212142701E-5</v>
      </c>
      <c r="AC40" s="47" t="str">
        <f t="shared" si="72"/>
        <v>44,9258871048872-20,8514295037403i</v>
      </c>
      <c r="AD40" s="20">
        <f t="shared" si="73"/>
        <v>33.89718340820275</v>
      </c>
      <c r="AE40" s="43">
        <f t="shared" si="74"/>
        <v>-24.897405153647831</v>
      </c>
      <c r="AF40" t="str">
        <f t="shared" si="54"/>
        <v>171,265703090588</v>
      </c>
      <c r="AG40" t="str">
        <f t="shared" si="55"/>
        <v>1+0,461018251954699i</v>
      </c>
      <c r="AH40">
        <f t="shared" si="75"/>
        <v>1.1011529542417648</v>
      </c>
      <c r="AI40">
        <f t="shared" si="76"/>
        <v>0.43197883498953243</v>
      </c>
      <c r="AJ40" t="str">
        <f t="shared" si="56"/>
        <v>1+0,00157663680140726i</v>
      </c>
      <c r="AK40">
        <f t="shared" si="77"/>
        <v>1.0000012428910294</v>
      </c>
      <c r="AL40">
        <f t="shared" si="78"/>
        <v>1.5766354950165718E-3</v>
      </c>
      <c r="AM40" t="str">
        <f t="shared" si="57"/>
        <v>1-0,000131095536468058i</v>
      </c>
      <c r="AN40">
        <f t="shared" si="79"/>
        <v>1.0000000085930199</v>
      </c>
      <c r="AO40">
        <f t="shared" si="80"/>
        <v>-1.3109553571705366E-4</v>
      </c>
      <c r="AP40" s="41" t="str">
        <f t="shared" si="81"/>
        <v>141,339815952454-64,9126632409131i</v>
      </c>
      <c r="AQ40">
        <f t="shared" si="82"/>
        <v>43.836465940374481</v>
      </c>
      <c r="AR40" s="43">
        <f t="shared" si="83"/>
        <v>-24.667740745093099</v>
      </c>
      <c r="AS40" t="str">
        <f t="shared" si="58"/>
        <v>-0,0000166666666666667</v>
      </c>
      <c r="AT40" t="str">
        <f t="shared" si="59"/>
        <v>1,59853453476013E-07i</v>
      </c>
      <c r="AU40">
        <f t="shared" si="84"/>
        <v>1.5985345347601301E-7</v>
      </c>
      <c r="AV40">
        <f t="shared" si="85"/>
        <v>1.5707963267948966</v>
      </c>
      <c r="AW40" t="str">
        <f t="shared" si="60"/>
        <v>1+0,000740739652138189i</v>
      </c>
      <c r="AX40">
        <f t="shared" si="86"/>
        <v>1.0000002743475787</v>
      </c>
      <c r="AY40">
        <f t="shared" si="87"/>
        <v>7.4073951665812841E-4</v>
      </c>
      <c r="AZ40" t="str">
        <f t="shared" si="61"/>
        <v>1+0,0344107238402377i</v>
      </c>
      <c r="BA40">
        <f t="shared" si="88"/>
        <v>1.0005918738003068</v>
      </c>
      <c r="BB40">
        <f t="shared" si="89"/>
        <v>3.4397151592668956E-2</v>
      </c>
      <c r="BC40" s="41" t="str">
        <f t="shared" si="90"/>
        <v>-3,51050342062231+104,264762394676i</v>
      </c>
      <c r="BD40">
        <f t="shared" si="91"/>
        <v>40.367671574837118</v>
      </c>
      <c r="BE40" s="43">
        <f t="shared" si="92"/>
        <v>91.928370365508556</v>
      </c>
      <c r="BF40" s="41" t="str">
        <f t="shared" si="93"/>
        <v>2016,35686244062+4757,38595895885i</v>
      </c>
      <c r="BG40" s="20">
        <f t="shared" si="94"/>
        <v>74.264854983039868</v>
      </c>
      <c r="BH40" s="43">
        <f t="shared" si="95"/>
        <v>67.030965211860746</v>
      </c>
      <c r="BI40" s="41" t="str">
        <f t="shared" si="96"/>
        <v>6271,92950184821+14964,6384535388i</v>
      </c>
      <c r="BJ40" s="20">
        <f t="shared" si="97"/>
        <v>84.204137515211613</v>
      </c>
      <c r="BK40" s="43">
        <f t="shared" si="98"/>
        <v>67.260629620415486</v>
      </c>
      <c r="BL40">
        <f t="shared" si="99"/>
        <v>74.264854983039868</v>
      </c>
      <c r="BM40" s="43">
        <f t="shared" si="100"/>
        <v>67.030965211860746</v>
      </c>
    </row>
    <row r="41" spans="1:65" x14ac:dyDescent="0.25">
      <c r="B41" s="1"/>
      <c r="C41" t="s">
        <v>237</v>
      </c>
      <c r="E41" t="s">
        <v>236</v>
      </c>
      <c r="N41" s="9">
        <v>23</v>
      </c>
      <c r="O41" s="34">
        <f t="shared" si="62"/>
        <v>16.982436524617448</v>
      </c>
      <c r="P41" s="33" t="str">
        <f t="shared" si="50"/>
        <v>54,631621870174</v>
      </c>
      <c r="Q41" s="4" t="str">
        <f t="shared" si="63"/>
        <v>1+0,476315090257764i</v>
      </c>
      <c r="R41" s="4">
        <f t="shared" si="64"/>
        <v>1.1076443766874193</v>
      </c>
      <c r="S41" s="4">
        <f t="shared" si="65"/>
        <v>0.44452078503117282</v>
      </c>
      <c r="T41" s="4" t="str">
        <f t="shared" si="51"/>
        <v>1+0,00161336139025198i</v>
      </c>
      <c r="U41" s="4">
        <f t="shared" si="66"/>
        <v>1.0000013014666409</v>
      </c>
      <c r="V41" s="4">
        <f t="shared" si="67"/>
        <v>1.613359990429236E-3</v>
      </c>
      <c r="W41" t="str">
        <f t="shared" si="52"/>
        <v>1-0,000424610558729244i</v>
      </c>
      <c r="X41" s="4">
        <f t="shared" si="68"/>
        <v>1.0000000901470592</v>
      </c>
      <c r="Y41" s="4">
        <f t="shared" si="69"/>
        <v>-4.2461053321098347E-4</v>
      </c>
      <c r="Z41" t="str">
        <f t="shared" si="53"/>
        <v>0,999999998846387+0,0000583380565011007i</v>
      </c>
      <c r="AA41" s="4">
        <f t="shared" si="70"/>
        <v>1.0000000005480514</v>
      </c>
      <c r="AB41" s="4">
        <f t="shared" si="71"/>
        <v>5.8338056502219044E-5</v>
      </c>
      <c r="AC41" s="47" t="str">
        <f t="shared" si="72"/>
        <v>44,5530563029206-21,1595367532286i</v>
      </c>
      <c r="AD41" s="20">
        <f t="shared" si="73"/>
        <v>33.86088701802781</v>
      </c>
      <c r="AE41" s="43">
        <f t="shared" si="74"/>
        <v>-25.404397085753835</v>
      </c>
      <c r="AF41" t="str">
        <f t="shared" si="54"/>
        <v>171,265703090588</v>
      </c>
      <c r="AG41" t="str">
        <f t="shared" si="55"/>
        <v>1+0,471756746538765i</v>
      </c>
      <c r="AH41">
        <f t="shared" si="75"/>
        <v>1.1056918322502163</v>
      </c>
      <c r="AI41">
        <f t="shared" si="76"/>
        <v>0.4407988085543878</v>
      </c>
      <c r="AJ41" t="str">
        <f t="shared" si="56"/>
        <v>1+0,00161336139025198i</v>
      </c>
      <c r="AK41">
        <f t="shared" si="77"/>
        <v>1.0000013014666409</v>
      </c>
      <c r="AL41">
        <f t="shared" si="78"/>
        <v>1.613359990429236E-3</v>
      </c>
      <c r="AM41" t="str">
        <f t="shared" si="57"/>
        <v>1-0,000134149143787049i</v>
      </c>
      <c r="AN41">
        <f t="shared" si="79"/>
        <v>1.0000000089979963</v>
      </c>
      <c r="AO41">
        <f t="shared" si="80"/>
        <v>-1.3414914298233332E-4</v>
      </c>
      <c r="AP41" s="41" t="str">
        <f t="shared" si="81"/>
        <v>140,186195649126-65,8804452436675i</v>
      </c>
      <c r="AQ41">
        <f t="shared" si="82"/>
        <v>43.800737388904153</v>
      </c>
      <c r="AR41" s="43">
        <f t="shared" si="83"/>
        <v>-25.171158805992935</v>
      </c>
      <c r="AS41" t="str">
        <f t="shared" si="58"/>
        <v>-0,0000166666666666667</v>
      </c>
      <c r="AT41" t="str">
        <f t="shared" si="59"/>
        <v>1,63576918733882E-07i</v>
      </c>
      <c r="AU41">
        <f t="shared" si="84"/>
        <v>1.63576918733882E-7</v>
      </c>
      <c r="AV41">
        <f t="shared" si="85"/>
        <v>1.5707963267948966</v>
      </c>
      <c r="AW41" t="str">
        <f t="shared" si="60"/>
        <v>1+0,000757993695137489i</v>
      </c>
      <c r="AX41">
        <f t="shared" si="86"/>
        <v>1.0000002872771796</v>
      </c>
      <c r="AY41">
        <f t="shared" si="87"/>
        <v>7.5799354996799095E-4</v>
      </c>
      <c r="AZ41" t="str">
        <f t="shared" si="61"/>
        <v>1+0,0352122525650234i</v>
      </c>
      <c r="BA41">
        <f t="shared" si="88"/>
        <v>1.0006197593145476</v>
      </c>
      <c r="BB41">
        <f t="shared" si="89"/>
        <v>3.519771012618058E-2</v>
      </c>
      <c r="BC41" s="41" t="str">
        <f t="shared" si="90"/>
        <v>-3,51050332984349+101,891526408126i</v>
      </c>
      <c r="BD41">
        <f t="shared" si="91"/>
        <v>40.167913526384964</v>
      </c>
      <c r="BE41" s="43">
        <f t="shared" si="92"/>
        <v>91.973250407443714</v>
      </c>
      <c r="BF41" s="41" t="str">
        <f t="shared" si="93"/>
        <v>1999,5738453692+4613,85953708191i</v>
      </c>
      <c r="BG41" s="20">
        <f t="shared" si="94"/>
        <v>74.028800544412775</v>
      </c>
      <c r="BH41" s="43">
        <f t="shared" si="95"/>
        <v>66.568853321689843</v>
      </c>
      <c r="BI41" s="41" t="str">
        <f t="shared" si="96"/>
        <v>6220,5350196999+14515,0589784371i</v>
      </c>
      <c r="BJ41" s="20">
        <f t="shared" si="97"/>
        <v>83.968650915289118</v>
      </c>
      <c r="BK41" s="43">
        <f t="shared" si="98"/>
        <v>66.802091601450769</v>
      </c>
      <c r="BL41">
        <f t="shared" si="99"/>
        <v>74.028800544412775</v>
      </c>
      <c r="BM41" s="43">
        <f t="shared" si="100"/>
        <v>66.568853321689843</v>
      </c>
    </row>
    <row r="42" spans="1:65" x14ac:dyDescent="0.25">
      <c r="A42" t="s">
        <v>218</v>
      </c>
      <c r="B42" s="18">
        <f>((VOUT/IOUT)*((VIN_var/VOUT)^2))/(Lm)</f>
        <v>251298.02699896158</v>
      </c>
      <c r="C42" t="s">
        <v>216</v>
      </c>
      <c r="E42" t="s">
        <v>208</v>
      </c>
      <c r="N42" s="9">
        <v>24</v>
      </c>
      <c r="O42" s="34">
        <f t="shared" si="62"/>
        <v>17.378008287493756</v>
      </c>
      <c r="P42" s="33" t="str">
        <f t="shared" si="50"/>
        <v>54,631621870174</v>
      </c>
      <c r="Q42" s="4" t="str">
        <f t="shared" si="63"/>
        <v>1+0,487409893978346i</v>
      </c>
      <c r="R42" s="4">
        <f t="shared" si="64"/>
        <v>1.1124605182872704</v>
      </c>
      <c r="S42" s="4">
        <f t="shared" si="65"/>
        <v>0.45352488976947231</v>
      </c>
      <c r="T42" s="4" t="str">
        <f t="shared" si="51"/>
        <v>1+0,00165094140466119i</v>
      </c>
      <c r="U42" s="4">
        <f t="shared" si="66"/>
        <v>1.0000013628028321</v>
      </c>
      <c r="V42" s="4">
        <f t="shared" si="67"/>
        <v>1.6509399047242061E-3</v>
      </c>
      <c r="W42" t="str">
        <f t="shared" si="52"/>
        <v>1-0,000434501009196053i</v>
      </c>
      <c r="X42" s="4">
        <f t="shared" si="68"/>
        <v>1.0000000943955589</v>
      </c>
      <c r="Y42" s="4">
        <f t="shared" si="69"/>
        <v>-4.3450098185274434E-4</v>
      </c>
      <c r="Z42" t="str">
        <f t="shared" si="53"/>
        <v>0,999999998792019+0,0000596969244008553i</v>
      </c>
      <c r="AA42" s="4">
        <f t="shared" si="70"/>
        <v>1.0000000005738803</v>
      </c>
      <c r="AB42" s="4">
        <f t="shared" si="71"/>
        <v>5.9696924402053621E-5</v>
      </c>
      <c r="AC42" s="47" t="str">
        <f t="shared" si="72"/>
        <v>44,1692487009708-21,4653340570237i</v>
      </c>
      <c r="AD42" s="20">
        <f t="shared" si="73"/>
        <v>33.823202395081012</v>
      </c>
      <c r="AE42" s="43">
        <f t="shared" si="74"/>
        <v>-25.918785653428841</v>
      </c>
      <c r="AF42" t="str">
        <f t="shared" si="54"/>
        <v>171,265703090588</v>
      </c>
      <c r="AG42" t="str">
        <f t="shared" si="55"/>
        <v>1+0,482745372794288i</v>
      </c>
      <c r="AH42">
        <f t="shared" si="75"/>
        <v>1.1104247362853081</v>
      </c>
      <c r="AI42">
        <f t="shared" si="76"/>
        <v>0.44974886906039679</v>
      </c>
      <c r="AJ42" t="str">
        <f t="shared" si="56"/>
        <v>1+0,00165094140466119i</v>
      </c>
      <c r="AK42">
        <f t="shared" si="77"/>
        <v>1.0000013628028321</v>
      </c>
      <c r="AL42">
        <f t="shared" si="78"/>
        <v>1.6509399047242061E-3</v>
      </c>
      <c r="AM42" t="str">
        <f t="shared" si="57"/>
        <v>1-0,000137273878757751i</v>
      </c>
      <c r="AN42">
        <f t="shared" si="79"/>
        <v>1.0000000094220589</v>
      </c>
      <c r="AO42">
        <f t="shared" si="80"/>
        <v>-1.3727387789548264E-4</v>
      </c>
      <c r="AP42" s="41" t="str">
        <f t="shared" si="81"/>
        <v>138,998295513399-66,8415446523172i</v>
      </c>
      <c r="AQ42">
        <f t="shared" si="82"/>
        <v>43.763637399857799</v>
      </c>
      <c r="AR42" s="43">
        <f t="shared" si="83"/>
        <v>-25.681985363013013</v>
      </c>
      <c r="AS42" t="str">
        <f t="shared" si="58"/>
        <v>-0,0000166666666666667</v>
      </c>
      <c r="AT42" t="str">
        <f t="shared" si="59"/>
        <v>1,6738711463926E-07i</v>
      </c>
      <c r="AU42">
        <f t="shared" si="84"/>
        <v>1.6738711463926001E-7</v>
      </c>
      <c r="AV42">
        <f t="shared" si="85"/>
        <v>1.5707963267948966</v>
      </c>
      <c r="AW42" t="str">
        <f t="shared" si="60"/>
        <v>1+0,00077564963642719i</v>
      </c>
      <c r="AX42">
        <f t="shared" si="86"/>
        <v>1.000000300816134</v>
      </c>
      <c r="AY42">
        <f t="shared" si="87"/>
        <v>7.7564948087527276E-4</v>
      </c>
      <c r="AZ42" t="str">
        <f t="shared" si="61"/>
        <v>1+0,0360324512922086i</v>
      </c>
      <c r="BA42">
        <f t="shared" si="88"/>
        <v>1.0006489581996902</v>
      </c>
      <c r="BB42">
        <f t="shared" si="89"/>
        <v>3.601686933399631E-2</v>
      </c>
      <c r="BC42" s="41" t="str">
        <f t="shared" si="90"/>
        <v>-3,51050323478644+99,5723146575647i</v>
      </c>
      <c r="BD42">
        <f t="shared" si="91"/>
        <v>39.968166866298048</v>
      </c>
      <c r="BE42" s="43">
        <f t="shared" si="92"/>
        <v>92.019173162476477</v>
      </c>
      <c r="BF42" s="41" t="str">
        <f t="shared" si="93"/>
        <v>1982,29670651286+4473,38845448425i</v>
      </c>
      <c r="BG42" s="20">
        <f t="shared" si="94"/>
        <v>73.79136926137906</v>
      </c>
      <c r="BH42" s="43">
        <f t="shared" si="95"/>
        <v>66.100387509047636</v>
      </c>
      <c r="BI42" s="41" t="str">
        <f t="shared" si="96"/>
        <v>6167,6133502886+14075,0294764454i</v>
      </c>
      <c r="BJ42" s="20">
        <f t="shared" si="97"/>
        <v>83.731804266155834</v>
      </c>
      <c r="BK42" s="43">
        <f t="shared" si="98"/>
        <v>66.33718779946345</v>
      </c>
      <c r="BL42">
        <f t="shared" si="99"/>
        <v>73.79136926137906</v>
      </c>
      <c r="BM42" s="43">
        <f t="shared" si="100"/>
        <v>66.100387509047636</v>
      </c>
    </row>
    <row r="43" spans="1:65" x14ac:dyDescent="0.25">
      <c r="B43" s="1">
        <f>wz_rhp/(2*PI())</f>
        <v>39995.323186125308</v>
      </c>
      <c r="C43" t="s">
        <v>65</v>
      </c>
      <c r="N43" s="9">
        <v>25</v>
      </c>
      <c r="O43" s="34">
        <f t="shared" si="62"/>
        <v>17.782794100389236</v>
      </c>
      <c r="P43" s="33" t="str">
        <f t="shared" si="50"/>
        <v>54,631621870174</v>
      </c>
      <c r="Q43" s="4" t="str">
        <f t="shared" si="63"/>
        <v>1+0,498763128876344i</v>
      </c>
      <c r="R43" s="4">
        <f t="shared" si="64"/>
        <v>1.1174813907741463</v>
      </c>
      <c r="S43" s="4">
        <f t="shared" si="65"/>
        <v>0.46265762263091958</v>
      </c>
      <c r="T43" s="4" t="str">
        <f t="shared" si="51"/>
        <v>1+0,00168939677005594i</v>
      </c>
      <c r="U43" s="4">
        <f t="shared" si="66"/>
        <v>1.0000014270297051</v>
      </c>
      <c r="V43" s="4">
        <f t="shared" si="67"/>
        <v>1.6893951628446291E-3</v>
      </c>
      <c r="W43" t="str">
        <f t="shared" si="52"/>
        <v>1-0,000444621837849234i</v>
      </c>
      <c r="X43" s="4">
        <f t="shared" si="68"/>
        <v>1.0000000988442843</v>
      </c>
      <c r="Y43" s="4">
        <f t="shared" si="69"/>
        <v>-4.4462180855035105E-4</v>
      </c>
      <c r="Z43" t="str">
        <f t="shared" si="53"/>
        <v>0,999999998735089+0,0000610874444001089i</v>
      </c>
      <c r="AA43" s="4">
        <f t="shared" si="70"/>
        <v>1.0000000006009269</v>
      </c>
      <c r="AB43" s="4">
        <f t="shared" si="71"/>
        <v>6.1087444401392889E-5</v>
      </c>
      <c r="AC43" s="47" t="str">
        <f t="shared" si="72"/>
        <v>43,7743973146464-21,7683886047535i</v>
      </c>
      <c r="AD43" s="20">
        <f t="shared" si="73"/>
        <v>33.784089131188601</v>
      </c>
      <c r="AE43" s="43">
        <f t="shared" si="74"/>
        <v>-26.440508929402057</v>
      </c>
      <c r="AF43" t="str">
        <f t="shared" si="54"/>
        <v>171,265703090588</v>
      </c>
      <c r="AG43" t="str">
        <f t="shared" si="55"/>
        <v>1+0,493989957036353i</v>
      </c>
      <c r="AH43">
        <f t="shared" si="75"/>
        <v>1.1153591697981318</v>
      </c>
      <c r="AI43">
        <f t="shared" si="76"/>
        <v>0.4588280254959986</v>
      </c>
      <c r="AJ43" t="str">
        <f t="shared" si="56"/>
        <v>1+0,00168939677005594i</v>
      </c>
      <c r="AK43">
        <f t="shared" si="77"/>
        <v>1.0000014270297051</v>
      </c>
      <c r="AL43">
        <f t="shared" si="78"/>
        <v>1.6893951628446291E-3</v>
      </c>
      <c r="AM43" t="str">
        <f t="shared" si="57"/>
        <v>1-0,000140471398156004i</v>
      </c>
      <c r="AN43">
        <f t="shared" si="79"/>
        <v>1.0000000098661068</v>
      </c>
      <c r="AO43">
        <f t="shared" si="80"/>
        <v>-1.404713972320668E-4</v>
      </c>
      <c r="AP43" s="41" t="str">
        <f t="shared" si="81"/>
        <v>137,775880569053-67,7946235300988i</v>
      </c>
      <c r="AQ43">
        <f t="shared" si="82"/>
        <v>43.725125673826817</v>
      </c>
      <c r="AR43" s="43">
        <f t="shared" si="83"/>
        <v>-26.20016258868451</v>
      </c>
      <c r="AS43" t="str">
        <f t="shared" si="58"/>
        <v>-0,0000166666666666667</v>
      </c>
      <c r="AT43" t="str">
        <f t="shared" si="59"/>
        <v>1,7128606140845E-07i</v>
      </c>
      <c r="AU43">
        <f t="shared" si="84"/>
        <v>1.7128606140845001E-7</v>
      </c>
      <c r="AV43">
        <f t="shared" si="85"/>
        <v>1.5707963267948966</v>
      </c>
      <c r="AW43" t="str">
        <f t="shared" si="60"/>
        <v>1+0,000793716837421054i</v>
      </c>
      <c r="AX43">
        <f t="shared" si="86"/>
        <v>1.0000003149931593</v>
      </c>
      <c r="AY43">
        <f t="shared" si="87"/>
        <v>7.9371667074417459E-4</v>
      </c>
      <c r="AZ43" t="str">
        <f t="shared" si="61"/>
        <v>1+0,0368717549020145i</v>
      </c>
      <c r="BA43">
        <f t="shared" si="88"/>
        <v>1.0006795322727222</v>
      </c>
      <c r="BB43">
        <f t="shared" si="89"/>
        <v>3.6855059145269348E-2</v>
      </c>
      <c r="BC43" s="41" t="str">
        <f t="shared" si="90"/>
        <v>-3,51050313524947+97,3058974662235i</v>
      </c>
      <c r="BD43">
        <f t="shared" si="91"/>
        <v>39.768432129900276</v>
      </c>
      <c r="BE43" s="43">
        <f t="shared" si="92"/>
        <v>92.066162727366134</v>
      </c>
      <c r="BF43" s="41" t="str">
        <f t="shared" si="93"/>
        <v>1964,52243056233+4335,92501319103i</v>
      </c>
      <c r="BG43" s="20">
        <f t="shared" si="94"/>
        <v>73.552521261088884</v>
      </c>
      <c r="BH43" s="43">
        <f t="shared" si="95"/>
        <v>65.625653797964105</v>
      </c>
      <c r="BI43" s="41" t="str">
        <f t="shared" si="96"/>
        <v>6113,1540252816+13644,3989464264i</v>
      </c>
      <c r="BJ43" s="20">
        <f t="shared" si="97"/>
        <v>83.4935578037271</v>
      </c>
      <c r="BK43" s="43">
        <f t="shared" si="98"/>
        <v>65.866000138681642</v>
      </c>
      <c r="BL43">
        <f t="shared" si="99"/>
        <v>73.552521261088884</v>
      </c>
      <c r="BM43" s="43">
        <f t="shared" si="100"/>
        <v>65.625653797964105</v>
      </c>
    </row>
    <row r="44" spans="1:65" x14ac:dyDescent="0.25">
      <c r="B44" s="1"/>
      <c r="N44" s="9">
        <v>26</v>
      </c>
      <c r="O44" s="34">
        <f t="shared" si="62"/>
        <v>18.197008586099841</v>
      </c>
      <c r="P44" s="33" t="str">
        <f t="shared" si="50"/>
        <v>54,631621870174</v>
      </c>
      <c r="Q44" s="4" t="str">
        <f t="shared" si="63"/>
        <v>1+0,510380814587187i</v>
      </c>
      <c r="R44" s="4">
        <f t="shared" si="64"/>
        <v>1.1227148239418061</v>
      </c>
      <c r="S44" s="4">
        <f t="shared" si="65"/>
        <v>0.47191773109606461</v>
      </c>
      <c r="T44" s="4" t="str">
        <f t="shared" si="51"/>
        <v>1+0,00172874787597998i</v>
      </c>
      <c r="U44" s="4">
        <f t="shared" si="66"/>
        <v>1.0000014942834929</v>
      </c>
      <c r="V44" s="4">
        <f t="shared" si="67"/>
        <v>1.7287461538221718E-3</v>
      </c>
      <c r="W44" t="str">
        <f t="shared" si="52"/>
        <v>1-0,000454978410886112i</v>
      </c>
      <c r="X44" s="4">
        <f t="shared" si="68"/>
        <v>1.0000001035026718</v>
      </c>
      <c r="Y44" s="4">
        <f t="shared" si="69"/>
        <v>-4.5497837949179349E-4</v>
      </c>
      <c r="Z44" t="str">
        <f t="shared" si="53"/>
        <v>0,999999998675476+0,0000625103537709717i</v>
      </c>
      <c r="AA44" s="4">
        <f t="shared" si="70"/>
        <v>1.000000000629248</v>
      </c>
      <c r="AB44" s="4">
        <f t="shared" si="71"/>
        <v>6.2510353772347513E-5</v>
      </c>
      <c r="AC44" s="47" t="str">
        <f t="shared" si="72"/>
        <v>43,3684553338826-22,0682545138i</v>
      </c>
      <c r="AD44" s="20">
        <f t="shared" si="73"/>
        <v>33.74350660903368</v>
      </c>
      <c r="AE44" s="43">
        <f t="shared" si="74"/>
        <v>-26.969494331092349</v>
      </c>
      <c r="AF44" t="str">
        <f t="shared" si="54"/>
        <v>171,265703090588</v>
      </c>
      <c r="AG44" t="str">
        <f t="shared" si="55"/>
        <v>1+0,505496461292371i</v>
      </c>
      <c r="AH44">
        <f t="shared" si="75"/>
        <v>1.120502865850467</v>
      </c>
      <c r="AI44">
        <f t="shared" si="76"/>
        <v>0.46803510354177397</v>
      </c>
      <c r="AJ44" t="str">
        <f t="shared" si="56"/>
        <v>1+0,00172874787597998i</v>
      </c>
      <c r="AK44">
        <f t="shared" si="77"/>
        <v>1.0000014942834929</v>
      </c>
      <c r="AL44">
        <f t="shared" si="78"/>
        <v>1.7287461538221718E-3</v>
      </c>
      <c r="AM44" t="str">
        <f t="shared" si="57"/>
        <v>1-0,000143743397348919i</v>
      </c>
      <c r="AN44">
        <f t="shared" si="79"/>
        <v>1.000000010331082</v>
      </c>
      <c r="AO44">
        <f t="shared" si="80"/>
        <v>-1.4374339635890245E-4</v>
      </c>
      <c r="AP44" s="41" t="str">
        <f t="shared" si="81"/>
        <v>136,518777279537-68,7383019083329i</v>
      </c>
      <c r="AQ44">
        <f t="shared" si="82"/>
        <v>43.685161671768178</v>
      </c>
      <c r="AR44" s="43">
        <f t="shared" si="83"/>
        <v>-26.725622128392921</v>
      </c>
      <c r="AS44" t="str">
        <f t="shared" si="58"/>
        <v>-0,0000166666666666667</v>
      </c>
      <c r="AT44" t="str">
        <f t="shared" si="59"/>
        <v>1,75275826314637E-07i</v>
      </c>
      <c r="AU44">
        <f t="shared" si="84"/>
        <v>1.75275826314637E-7</v>
      </c>
      <c r="AV44">
        <f t="shared" si="85"/>
        <v>1.5707963267948966</v>
      </c>
      <c r="AW44" t="str">
        <f t="shared" si="60"/>
        <v>1+0,000812204877588209i</v>
      </c>
      <c r="AX44">
        <f t="shared" si="86"/>
        <v>1.0000003298383273</v>
      </c>
      <c r="AY44">
        <f t="shared" si="87"/>
        <v>8.1220469899071814E-4</v>
      </c>
      <c r="AZ44" t="str">
        <f t="shared" si="61"/>
        <v>1+0,037730608404325i</v>
      </c>
      <c r="BA44">
        <f t="shared" si="88"/>
        <v>1.0007115462562428</v>
      </c>
      <c r="BB44">
        <f t="shared" si="89"/>
        <v>3.7712719265599368E-2</v>
      </c>
      <c r="BC44" s="41" t="str">
        <f t="shared" si="90"/>
        <v>-3,51050303102151+95,0910731497079i</v>
      </c>
      <c r="BD44">
        <f t="shared" si="91"/>
        <v>39.568709877610509</v>
      </c>
      <c r="BE44" s="43">
        <f t="shared" si="92"/>
        <v>92.114243746527691</v>
      </c>
      <c r="BF44" s="41" t="str">
        <f t="shared" si="93"/>
        <v>1946,24891035781+4201,42363290412i</v>
      </c>
      <c r="BG44" s="20">
        <f t="shared" si="94"/>
        <v>73.312216486644189</v>
      </c>
      <c r="BH44" s="43">
        <f t="shared" si="95"/>
        <v>65.144749415435371</v>
      </c>
      <c r="BI44" s="41" t="str">
        <f t="shared" si="96"/>
        <v>6057,14931352082+13223,0230537936i</v>
      </c>
      <c r="BJ44" s="20">
        <f t="shared" si="97"/>
        <v>83.253871549378687</v>
      </c>
      <c r="BK44" s="43">
        <f t="shared" si="98"/>
        <v>65.388621618134778</v>
      </c>
      <c r="BL44">
        <f t="shared" si="99"/>
        <v>73.312216486644189</v>
      </c>
      <c r="BM44" s="43">
        <f t="shared" si="100"/>
        <v>65.144749415435371</v>
      </c>
    </row>
    <row r="45" spans="1:65" x14ac:dyDescent="0.25">
      <c r="A45" t="s">
        <v>219</v>
      </c>
      <c r="B45" s="18">
        <f>1/(Cout*Resr)</f>
        <v>66137.566137566144</v>
      </c>
      <c r="C45" t="s">
        <v>216</v>
      </c>
      <c r="E45" t="s">
        <v>209</v>
      </c>
      <c r="N45" s="9">
        <v>27</v>
      </c>
      <c r="O45" s="34">
        <f t="shared" si="62"/>
        <v>18.62087136662868</v>
      </c>
      <c r="P45" s="33" t="str">
        <f t="shared" si="50"/>
        <v>54,631621870174</v>
      </c>
      <c r="Q45" s="4" t="str">
        <f t="shared" si="63"/>
        <v>1+0,522269110961611i</v>
      </c>
      <c r="R45" s="4">
        <f t="shared" si="64"/>
        <v>1.1281688810921136</v>
      </c>
      <c r="S45" s="4">
        <f t="shared" si="65"/>
        <v>0.48130377166687721</v>
      </c>
      <c r="T45" s="4" t="str">
        <f t="shared" si="51"/>
        <v>1+0,00176901558691055i</v>
      </c>
      <c r="U45" s="4">
        <f t="shared" si="66"/>
        <v>1.0000015647068492</v>
      </c>
      <c r="V45" s="4">
        <f t="shared" si="67"/>
        <v>1.7690137415853676E-3</v>
      </c>
      <c r="W45" t="str">
        <f t="shared" si="52"/>
        <v>1-0,000465576219498792i</v>
      </c>
      <c r="X45" s="4">
        <f t="shared" si="68"/>
        <v>1.0000001083806023</v>
      </c>
      <c r="Y45" s="4">
        <f t="shared" si="69"/>
        <v>-4.6557618585917385E-4</v>
      </c>
      <c r="Z45" t="str">
        <f t="shared" si="53"/>
        <v>0,999999998613053+0,0000639664069588261i</v>
      </c>
      <c r="AA45" s="4">
        <f t="shared" si="70"/>
        <v>1.0000000006589036</v>
      </c>
      <c r="AB45" s="4">
        <f t="shared" si="71"/>
        <v>6.3966406960300301E-5</v>
      </c>
      <c r="AC45" s="47" t="str">
        <f t="shared" si="72"/>
        <v>42,9513974518202-22,3644737466933i</v>
      </c>
      <c r="AD45" s="20">
        <f t="shared" si="73"/>
        <v>33.701414078636176</v>
      </c>
      <c r="AE45" s="43">
        <f t="shared" si="74"/>
        <v>-27.505658314587741</v>
      </c>
      <c r="AF45" t="str">
        <f t="shared" si="54"/>
        <v>171,265703090588</v>
      </c>
      <c r="AG45" t="str">
        <f t="shared" si="55"/>
        <v>1+0,517270986463203i</v>
      </c>
      <c r="AH45">
        <f t="shared" si="75"/>
        <v>1.125863789912712</v>
      </c>
      <c r="AI45">
        <f t="shared" si="76"/>
        <v>0.47736874007979074</v>
      </c>
      <c r="AJ45" t="str">
        <f t="shared" si="56"/>
        <v>1+0,00176901558691055i</v>
      </c>
      <c r="AK45">
        <f t="shared" si="77"/>
        <v>1.0000015647068492</v>
      </c>
      <c r="AL45">
        <f t="shared" si="78"/>
        <v>1.7690137415853676E-3</v>
      </c>
      <c r="AM45" t="str">
        <f t="shared" si="57"/>
        <v>1-0,000147091611193776i</v>
      </c>
      <c r="AN45">
        <f t="shared" si="79"/>
        <v>1.000000010817971</v>
      </c>
      <c r="AO45">
        <f t="shared" si="80"/>
        <v>-1.4709161013295416E-4</v>
      </c>
      <c r="AP45" s="41" t="str">
        <f t="shared" si="81"/>
        <v>135,226877738404-69,6711604940225i</v>
      </c>
      <c r="AQ45">
        <f t="shared" si="82"/>
        <v>43.643704689440895</v>
      </c>
      <c r="AR45" s="43">
        <f t="shared" si="83"/>
        <v>-27.258284785218489</v>
      </c>
      <c r="AS45" t="str">
        <f t="shared" si="58"/>
        <v>-0,0000166666666666667</v>
      </c>
      <c r="AT45" t="str">
        <f t="shared" si="59"/>
        <v>1,79358524783987E-07i</v>
      </c>
      <c r="AU45">
        <f t="shared" si="84"/>
        <v>1.7935852478398699E-7</v>
      </c>
      <c r="AV45">
        <f t="shared" si="85"/>
        <v>1.5707963267948966</v>
      </c>
      <c r="AW45" t="str">
        <f t="shared" si="60"/>
        <v>1+0,000831123559532261i</v>
      </c>
      <c r="AX45">
        <f t="shared" si="86"/>
        <v>1.0000003453831259</v>
      </c>
      <c r="AY45">
        <f t="shared" si="87"/>
        <v>8.3112336816160528E-4</v>
      </c>
      <c r="AZ45" t="str">
        <f t="shared" si="61"/>
        <v>1+0,0386094671746351i</v>
      </c>
      <c r="BA45">
        <f t="shared" si="88"/>
        <v>1.0007450679146559</v>
      </c>
      <c r="BB45">
        <f t="shared" si="89"/>
        <v>3.859029938782637E-2</v>
      </c>
      <c r="BC45" s="41" t="str">
        <f t="shared" si="90"/>
        <v>-3,51050292188142+92,9266673788467i</v>
      </c>
      <c r="BD45">
        <f t="shared" si="91"/>
        <v>39.36900069611211</v>
      </c>
      <c r="BE45" s="43">
        <f t="shared" si="92"/>
        <v>92.163441423818369</v>
      </c>
      <c r="BF45" s="41" t="str">
        <f t="shared" si="93"/>
        <v>1927,47500670841+4069,84077489605i</v>
      </c>
      <c r="BG45" s="20">
        <f t="shared" si="94"/>
        <v>73.070414774748286</v>
      </c>
      <c r="BH45" s="43">
        <f t="shared" si="95"/>
        <v>64.657783109230692</v>
      </c>
      <c r="BI45" s="41" t="str">
        <f t="shared" si="96"/>
        <v>5999,59440770871+12810,7639007618i</v>
      </c>
      <c r="BJ45" s="20">
        <f t="shared" si="97"/>
        <v>83.012705385553019</v>
      </c>
      <c r="BK45" s="43">
        <f t="shared" si="98"/>
        <v>64.905156638599919</v>
      </c>
      <c r="BL45">
        <f t="shared" si="99"/>
        <v>73.070414774748286</v>
      </c>
      <c r="BM45" s="43">
        <f t="shared" si="100"/>
        <v>64.657783109230692</v>
      </c>
    </row>
    <row r="46" spans="1:65" x14ac:dyDescent="0.25">
      <c r="B46" s="18">
        <f>wz_esr/(2*PI())</f>
        <v>10526.120574860804</v>
      </c>
      <c r="C46" t="s">
        <v>65</v>
      </c>
      <c r="N46" s="9">
        <v>28</v>
      </c>
      <c r="O46" s="34">
        <f t="shared" si="62"/>
        <v>19.054607179632477</v>
      </c>
      <c r="P46" s="33" t="str">
        <f t="shared" si="50"/>
        <v>54,631621870174</v>
      </c>
      <c r="Q46" s="4" t="str">
        <f t="shared" si="63"/>
        <v>1+0,534434321331716i</v>
      </c>
      <c r="R46" s="4">
        <f t="shared" si="64"/>
        <v>1.1338518614957123</v>
      </c>
      <c r="S46" s="4">
        <f t="shared" si="65"/>
        <v>0.49081410494803207</v>
      </c>
      <c r="T46" s="4" t="str">
        <f t="shared" si="51"/>
        <v>1+0,00181022125332099i</v>
      </c>
      <c r="U46" s="4">
        <f t="shared" si="66"/>
        <v>1.0000016384491508</v>
      </c>
      <c r="V46" s="4">
        <f t="shared" si="67"/>
        <v>1.8102192760196076E-3</v>
      </c>
      <c r="W46" t="str">
        <f t="shared" si="52"/>
        <v>1-0,000476420882785679i</v>
      </c>
      <c r="X46" s="4">
        <f t="shared" si="68"/>
        <v>1.0000001134884222</v>
      </c>
      <c r="Y46" s="4">
        <f t="shared" si="69"/>
        <v>-4.7642084674017897E-4</v>
      </c>
      <c r="Z46" t="str">
        <f t="shared" si="53"/>
        <v>0,999999998547688+0,0000654563759823456i</v>
      </c>
      <c r="AA46" s="4">
        <f t="shared" si="70"/>
        <v>1.0000000006899565</v>
      </c>
      <c r="AB46" s="4">
        <f t="shared" si="71"/>
        <v>6.5456375983925259E-5</v>
      </c>
      <c r="AC46" s="47" t="str">
        <f t="shared" si="72"/>
        <v>42,5232211640655-22,6565771574295i</v>
      </c>
      <c r="AD46" s="20">
        <f t="shared" si="73"/>
        <v>33.657770738658634</v>
      </c>
      <c r="AE46" s="43">
        <f t="shared" si="74"/>
        <v>-28.048906092380445</v>
      </c>
      <c r="AF46" t="str">
        <f t="shared" si="54"/>
        <v>171,265703090588</v>
      </c>
      <c r="AG46" t="str">
        <f t="shared" si="55"/>
        <v>1+0,529319775557948i</v>
      </c>
      <c r="AH46">
        <f t="shared" si="75"/>
        <v>1.1314501424263981</v>
      </c>
      <c r="AI46">
        <f t="shared" si="76"/>
        <v>0.48682737809505039</v>
      </c>
      <c r="AJ46" t="str">
        <f t="shared" si="56"/>
        <v>1+0,00181022125332099i</v>
      </c>
      <c r="AK46">
        <f t="shared" si="77"/>
        <v>1.0000016384491508</v>
      </c>
      <c r="AL46">
        <f t="shared" si="78"/>
        <v>1.8102192760196076E-3</v>
      </c>
      <c r="AM46" t="str">
        <f t="shared" si="57"/>
        <v>1-0,000150517814957876i</v>
      </c>
      <c r="AN46">
        <f t="shared" si="79"/>
        <v>1.0000000113278062</v>
      </c>
      <c r="AO46">
        <f t="shared" si="80"/>
        <v>-1.5051781382118492E-4</v>
      </c>
      <c r="AP46" s="41" t="str">
        <f t="shared" si="81"/>
        <v>133,900143782671-70,5917437779274i</v>
      </c>
      <c r="AQ46">
        <f t="shared" si="82"/>
        <v>43.600713936709525</v>
      </c>
      <c r="AR46" s="43">
        <f t="shared" si="83"/>
        <v>-27.798060227230362</v>
      </c>
      <c r="AS46" t="str">
        <f t="shared" si="58"/>
        <v>-0,0000166666666666667</v>
      </c>
      <c r="AT46" t="str">
        <f t="shared" si="59"/>
        <v>1,83536321517268E-07i</v>
      </c>
      <c r="AU46">
        <f t="shared" si="84"/>
        <v>1.83536321517268E-7</v>
      </c>
      <c r="AV46">
        <f t="shared" si="85"/>
        <v>1.5707963267948966</v>
      </c>
      <c r="AW46" t="str">
        <f t="shared" si="60"/>
        <v>1+0,000850482914188799i</v>
      </c>
      <c r="AX46">
        <f t="shared" si="86"/>
        <v>1.0000003616605282</v>
      </c>
      <c r="AY46">
        <f t="shared" si="87"/>
        <v>8.5048270913145099E-4</v>
      </c>
      <c r="AZ46" t="str">
        <f t="shared" si="61"/>
        <v>1+0,0395087971954979i</v>
      </c>
      <c r="BA46">
        <f t="shared" si="88"/>
        <v>1.0007801681967099</v>
      </c>
      <c r="BB46">
        <f t="shared" si="89"/>
        <v>3.9488259406537211E-2</v>
      </c>
      <c r="BC46" s="41" t="str">
        <f t="shared" si="90"/>
        <v>-3,51050280759772+90,8115325570512i</v>
      </c>
      <c r="BD46">
        <f t="shared" si="91"/>
        <v>39.169305199576989</v>
      </c>
      <c r="BE46" s="43">
        <f t="shared" si="92"/>
        <v>92.21378153453027</v>
      </c>
      <c r="BF46" s="41" t="str">
        <f t="shared" si="93"/>
        <v>1908,2006068787+3941,13486089293i</v>
      </c>
      <c r="BG46" s="20">
        <f t="shared" si="94"/>
        <v>72.827075938235609</v>
      </c>
      <c r="BH46" s="43">
        <f t="shared" si="95"/>
        <v>64.164875442149821</v>
      </c>
      <c r="BI46" s="41" t="str">
        <f t="shared" si="96"/>
        <v>5940,48760766147+12407,4897812395i</v>
      </c>
      <c r="BJ46" s="20">
        <f t="shared" si="97"/>
        <v>82.770019136286521</v>
      </c>
      <c r="BK46" s="43">
        <f t="shared" si="98"/>
        <v>64.415721307299904</v>
      </c>
      <c r="BL46">
        <f t="shared" si="99"/>
        <v>72.827075938235609</v>
      </c>
      <c r="BM46" s="43">
        <f t="shared" si="100"/>
        <v>64.164875442149821</v>
      </c>
    </row>
    <row r="47" spans="1:65" x14ac:dyDescent="0.25">
      <c r="B47" s="1"/>
      <c r="N47" s="9">
        <v>29</v>
      </c>
      <c r="O47" s="34">
        <f t="shared" si="62"/>
        <v>19.498445997580465</v>
      </c>
      <c r="P47" s="33" t="str">
        <f t="shared" si="50"/>
        <v>54,631621870174</v>
      </c>
      <c r="Q47" s="4" t="str">
        <f t="shared" si="63"/>
        <v>1+0,546882895853067i</v>
      </c>
      <c r="R47" s="4">
        <f t="shared" si="64"/>
        <v>1.1397723026011102</v>
      </c>
      <c r="S47" s="4">
        <f t="shared" si="65"/>
        <v>0.50044689119778485</v>
      </c>
      <c r="T47" s="4" t="str">
        <f t="shared" si="51"/>
        <v>1+0,00185238672300106i</v>
      </c>
      <c r="U47" s="4">
        <f t="shared" si="66"/>
        <v>1.000001715666814</v>
      </c>
      <c r="V47" s="4">
        <f t="shared" si="67"/>
        <v>1.8523846042846528E-3</v>
      </c>
      <c r="W47" t="str">
        <f t="shared" si="52"/>
        <v>1-0,000487518150730798i</v>
      </c>
      <c r="X47" s="4">
        <f t="shared" si="68"/>
        <v>1.0000001188369665</v>
      </c>
      <c r="Y47" s="4">
        <f t="shared" si="69"/>
        <v>-4.8751811210734911E-4</v>
      </c>
      <c r="Z47" t="str">
        <f t="shared" si="53"/>
        <v>0,999999998479242+0,0000669810508428287i</v>
      </c>
      <c r="AA47" s="4">
        <f t="shared" si="70"/>
        <v>1.0000000007224725</v>
      </c>
      <c r="AB47" s="4">
        <f t="shared" si="71"/>
        <v>6.6981050844521384E-5</v>
      </c>
      <c r="AC47" s="47" t="str">
        <f t="shared" si="72"/>
        <v>42,0839480258001-22,9440856684993i</v>
      </c>
      <c r="AD47" s="20">
        <f t="shared" si="73"/>
        <v>33.612535822406713</v>
      </c>
      <c r="AE47" s="43">
        <f t="shared" si="74"/>
        <v>-28.59913137799591</v>
      </c>
      <c r="AF47" t="str">
        <f t="shared" si="54"/>
        <v>171,265703090588</v>
      </c>
      <c r="AG47" t="str">
        <f t="shared" si="55"/>
        <v>1+0,541649217004071i</v>
      </c>
      <c r="AH47">
        <f t="shared" si="75"/>
        <v>1.1372703611196078</v>
      </c>
      <c r="AI47">
        <f t="shared" si="76"/>
        <v>0.49640926202353214</v>
      </c>
      <c r="AJ47" t="str">
        <f t="shared" si="56"/>
        <v>1+0,00185238672300106i</v>
      </c>
      <c r="AK47">
        <f t="shared" si="77"/>
        <v>1.000001715666814</v>
      </c>
      <c r="AL47">
        <f t="shared" si="78"/>
        <v>1.8523846042846528E-3</v>
      </c>
      <c r="AM47" t="str">
        <f t="shared" si="57"/>
        <v>1-0,000154023825259807i</v>
      </c>
      <c r="AN47">
        <f t="shared" si="79"/>
        <v>1.0000000118616694</v>
      </c>
      <c r="AO47">
        <f t="shared" si="80"/>
        <v>-1.5402382404182058E-4</v>
      </c>
      <c r="AP47" s="41" t="str">
        <f t="shared" si="81"/>
        <v>132,538610990815-71,4985635501974i</v>
      </c>
      <c r="AQ47">
        <f t="shared" si="82"/>
        <v>43.556148621603008</v>
      </c>
      <c r="AR47" s="43">
        <f t="shared" si="83"/>
        <v>-28.344846720353729</v>
      </c>
      <c r="AS47" t="str">
        <f t="shared" si="58"/>
        <v>-0,0000166666666666667</v>
      </c>
      <c r="AT47" t="str">
        <f t="shared" si="59"/>
        <v>1,87811431637608E-07i</v>
      </c>
      <c r="AU47">
        <f t="shared" si="84"/>
        <v>1.8781143163760801E-7</v>
      </c>
      <c r="AV47">
        <f t="shared" si="85"/>
        <v>1.5707963267948966</v>
      </c>
      <c r="AW47" t="str">
        <f t="shared" si="60"/>
        <v>1+0,000870293206143914i</v>
      </c>
      <c r="AX47">
        <f t="shared" si="86"/>
        <v>1.0000003787050606</v>
      </c>
      <c r="AY47">
        <f t="shared" si="87"/>
        <v>8.7029298642101133E-4</v>
      </c>
      <c r="AZ47" t="str">
        <f t="shared" si="61"/>
        <v>1+0,0404290753035946i</v>
      </c>
      <c r="BA47">
        <f t="shared" si="88"/>
        <v>1.0008169213846776</v>
      </c>
      <c r="BB47">
        <f t="shared" si="89"/>
        <v>4.0407069636282822E-2</v>
      </c>
      <c r="BC47" s="41" t="str">
        <f t="shared" si="90"/>
        <v>-3,51050268792801+88,744547211841i</v>
      </c>
      <c r="BD47">
        <f t="shared" si="91"/>
        <v>38.969624030945326</v>
      </c>
      <c r="BE47" s="43">
        <f t="shared" si="92"/>
        <v>92.265290437588462</v>
      </c>
      <c r="BF47" s="41" t="str">
        <f t="shared" si="93"/>
        <v>1888,42668117747+3815,2661868476i</v>
      </c>
      <c r="BG47" s="20">
        <f t="shared" si="94"/>
        <v>72.582159853352039</v>
      </c>
      <c r="BH47" s="43">
        <f t="shared" si="95"/>
        <v>63.666159059592523</v>
      </c>
      <c r="BI47" s="41" t="str">
        <f t="shared" si="96"/>
        <v>5879,83049842181+12013,0749199922i</v>
      </c>
      <c r="BJ47" s="20">
        <f t="shared" si="97"/>
        <v>82.525772652548355</v>
      </c>
      <c r="BK47" s="43">
        <f t="shared" si="98"/>
        <v>63.920443717234789</v>
      </c>
      <c r="BL47">
        <f t="shared" si="99"/>
        <v>72.582159853352039</v>
      </c>
      <c r="BM47" s="43">
        <f t="shared" si="100"/>
        <v>63.666159059592523</v>
      </c>
    </row>
    <row r="48" spans="1:65" x14ac:dyDescent="0.25">
      <c r="A48" t="s">
        <v>212</v>
      </c>
      <c r="B48" s="1">
        <f>(Vsl*Fsw)</f>
        <v>45000</v>
      </c>
      <c r="C48" t="s">
        <v>150</v>
      </c>
      <c r="E48" t="s">
        <v>213</v>
      </c>
      <c r="N48" s="9">
        <v>30</v>
      </c>
      <c r="O48" s="34">
        <f t="shared" si="62"/>
        <v>19.952623149688804</v>
      </c>
      <c r="P48" s="33" t="str">
        <f t="shared" si="50"/>
        <v>54,631621870174</v>
      </c>
      <c r="Q48" s="4" t="str">
        <f t="shared" si="63"/>
        <v>1+0,559621434924649i</v>
      </c>
      <c r="R48" s="4">
        <f t="shared" si="64"/>
        <v>1.1459389819825152</v>
      </c>
      <c r="S48" s="4">
        <f t="shared" si="65"/>
        <v>0.51020008640385661</v>
      </c>
      <c r="T48" s="4" t="str">
        <f t="shared" si="51"/>
        <v>1+0,0018955343526409i</v>
      </c>
      <c r="U48" s="4">
        <f t="shared" si="66"/>
        <v>1.0000017965236272</v>
      </c>
      <c r="V48" s="4">
        <f t="shared" si="67"/>
        <v>1.8955320823955877E-3</v>
      </c>
      <c r="W48" t="str">
        <f t="shared" si="52"/>
        <v>1-0,000498873907252498i</v>
      </c>
      <c r="X48" s="4">
        <f t="shared" si="68"/>
        <v>1.00000012443758</v>
      </c>
      <c r="Y48" s="4">
        <f t="shared" si="69"/>
        <v>-4.9887386586672711E-4</v>
      </c>
      <c r="Z48" t="str">
        <f t="shared" si="53"/>
        <v>0,999999998407571+0,0000685412399430676i</v>
      </c>
      <c r="AA48" s="4">
        <f t="shared" si="70"/>
        <v>1.0000000007565217</v>
      </c>
      <c r="AB48" s="4">
        <f t="shared" si="71"/>
        <v>6.8541239944881326E-5</v>
      </c>
      <c r="AC48" s="47" t="str">
        <f t="shared" si="72"/>
        <v>41,63362485354-23,2265115791944i</v>
      </c>
      <c r="AD48" s="20">
        <f t="shared" si="73"/>
        <v>33.565668688345305</v>
      </c>
      <c r="AE48" s="43">
        <f t="shared" si="74"/>
        <v>-29.156216160692981</v>
      </c>
      <c r="AF48" t="str">
        <f t="shared" si="54"/>
        <v>171,265703090588</v>
      </c>
      <c r="AG48" t="str">
        <f t="shared" si="55"/>
        <v>1+0,554265848034624i</v>
      </c>
      <c r="AH48">
        <f t="shared" si="75"/>
        <v>1.1433331230649888</v>
      </c>
      <c r="AI48">
        <f t="shared" si="76"/>
        <v>0.50611243360207436</v>
      </c>
      <c r="AJ48" t="str">
        <f t="shared" si="56"/>
        <v>1+0,0018955343526409i</v>
      </c>
      <c r="AK48">
        <f t="shared" si="77"/>
        <v>1.0000017965236272</v>
      </c>
      <c r="AL48">
        <f t="shared" si="78"/>
        <v>1.8955320823955877E-3</v>
      </c>
      <c r="AM48" t="str">
        <f t="shared" si="57"/>
        <v>1-0,000157611501032636i</v>
      </c>
      <c r="AN48">
        <f t="shared" si="79"/>
        <v>1.0000000124206925</v>
      </c>
      <c r="AO48">
        <f t="shared" si="80"/>
        <v>-1.5761149972754002E-4</v>
      </c>
      <c r="AP48" s="41" t="str">
        <f t="shared" si="81"/>
        <v>131,142392524873-72,3901028269906i</v>
      </c>
      <c r="AQ48">
        <f t="shared" si="82"/>
        <v>43.509968038969539</v>
      </c>
      <c r="AR48" s="43">
        <f t="shared" si="83"/>
        <v>-28.898530889978247</v>
      </c>
      <c r="AS48" t="str">
        <f t="shared" si="58"/>
        <v>-0,0000166666666666667</v>
      </c>
      <c r="AT48" t="str">
        <f t="shared" si="59"/>
        <v>1,9218612186498E-07i</v>
      </c>
      <c r="AU48">
        <f t="shared" si="84"/>
        <v>1.9218612186498E-7</v>
      </c>
      <c r="AV48">
        <f t="shared" si="85"/>
        <v>1.5707963267948966</v>
      </c>
      <c r="AW48" t="str">
        <f t="shared" si="60"/>
        <v>1+0,000890564939076618i</v>
      </c>
      <c r="AX48">
        <f t="shared" si="86"/>
        <v>1.0000003965528768</v>
      </c>
      <c r="AY48">
        <f t="shared" si="87"/>
        <v>8.9056470363929098E-4</v>
      </c>
      <c r="AZ48" t="str">
        <f t="shared" si="61"/>
        <v>1+0,0413707894425593i</v>
      </c>
      <c r="BA48">
        <f t="shared" si="88"/>
        <v>1.000855405250479</v>
      </c>
      <c r="BB48">
        <f t="shared" si="89"/>
        <v>4.1347211033503257E-2</v>
      </c>
      <c r="BC48" s="41" t="str">
        <f t="shared" si="90"/>
        <v>-3,51050256261846+86,7246154002258i</v>
      </c>
      <c r="BD48">
        <f t="shared" si="91"/>
        <v>38.769957863264509</v>
      </c>
      <c r="BE48" s="43">
        <f t="shared" si="92"/>
        <v>92.317995087954628</v>
      </c>
      <c r="BF48" s="41" t="str">
        <f t="shared" si="93"/>
        <v>1868,15533705508+3692,19683155999i</v>
      </c>
      <c r="BG48" s="20">
        <f t="shared" si="94"/>
        <v>72.33562655160982</v>
      </c>
      <c r="BH48" s="43">
        <f t="shared" si="95"/>
        <v>63.161778927261658</v>
      </c>
      <c r="BI48" s="41" t="str">
        <f t="shared" si="96"/>
        <v>5817,62812142707+11627,3991958674i</v>
      </c>
      <c r="BJ48" s="20">
        <f t="shared" si="97"/>
        <v>82.279925902234027</v>
      </c>
      <c r="BK48" s="43">
        <f t="shared" si="98"/>
        <v>63.419464197976367</v>
      </c>
      <c r="BL48">
        <f t="shared" si="99"/>
        <v>72.33562655160982</v>
      </c>
      <c r="BM48" s="43">
        <f t="shared" si="100"/>
        <v>63.161778927261658</v>
      </c>
    </row>
    <row r="49" spans="1:65" x14ac:dyDescent="0.25">
      <c r="A49" t="s">
        <v>215</v>
      </c>
      <c r="B49" s="1">
        <f>(R_cs*VIN_var)/Lm</f>
        <v>11000</v>
      </c>
      <c r="C49" t="s">
        <v>150</v>
      </c>
      <c r="E49" t="s">
        <v>214</v>
      </c>
      <c r="J49">
        <f>(0.5-(1-(VIN_var/VOUT)))</f>
        <v>-0.29439252336448596</v>
      </c>
      <c r="N49" s="9">
        <v>31</v>
      </c>
      <c r="O49" s="34">
        <f t="shared" si="62"/>
        <v>20.4173794466953</v>
      </c>
      <c r="P49" s="33" t="str">
        <f t="shared" si="50"/>
        <v>54,631621870174</v>
      </c>
      <c r="Q49" s="4" t="str">
        <f t="shared" si="63"/>
        <v>1+0,572656692688492i</v>
      </c>
      <c r="R49" s="4">
        <f t="shared" si="64"/>
        <v>1.1523609190183959</v>
      </c>
      <c r="S49" s="4">
        <f t="shared" si="65"/>
        <v>0.520071438939674</v>
      </c>
      <c r="T49" s="4" t="str">
        <f t="shared" si="51"/>
        <v>1+0,00193968701968486i</v>
      </c>
      <c r="U49" s="4">
        <f t="shared" si="66"/>
        <v>1.0000018811910978</v>
      </c>
      <c r="V49" s="4">
        <f t="shared" si="67"/>
        <v>1.9396845870734273E-3</v>
      </c>
      <c r="W49" t="str">
        <f t="shared" si="52"/>
        <v>1-0,000510494173323199i</v>
      </c>
      <c r="X49" s="4">
        <f t="shared" si="68"/>
        <v>1.000000130302142</v>
      </c>
      <c r="Y49" s="4">
        <f t="shared" si="69"/>
        <v>-5.1049412897754686E-4</v>
      </c>
      <c r="Z49" t="str">
        <f t="shared" si="53"/>
        <v>0,999999998332523+0,0000701377705159745i</v>
      </c>
      <c r="AA49" s="4">
        <f t="shared" si="70"/>
        <v>1.0000000007921763</v>
      </c>
      <c r="AB49" s="4">
        <f t="shared" si="71"/>
        <v>7.0137770517917885E-5</v>
      </c>
      <c r="AC49" s="47" t="str">
        <f t="shared" si="72"/>
        <v>41,1723248578017-23,5033600044025i</v>
      </c>
      <c r="AD49" s="20">
        <f t="shared" si="73"/>
        <v>33.517128914902429</v>
      </c>
      <c r="AE49" s="43">
        <f t="shared" si="74"/>
        <v>-29.720030513404804</v>
      </c>
      <c r="AF49" t="str">
        <f t="shared" si="54"/>
        <v>171,265703090588</v>
      </c>
      <c r="AG49" t="str">
        <f t="shared" si="55"/>
        <v>1+0,567176358154379i</v>
      </c>
      <c r="AH49">
        <f t="shared" si="75"/>
        <v>1.1496473464716319</v>
      </c>
      <c r="AI49">
        <f t="shared" si="76"/>
        <v>0.51593472827554498</v>
      </c>
      <c r="AJ49" t="str">
        <f t="shared" si="56"/>
        <v>1+0,00193968701968486i</v>
      </c>
      <c r="AK49">
        <f t="shared" si="77"/>
        <v>1.0000018811910978</v>
      </c>
      <c r="AL49">
        <f t="shared" si="78"/>
        <v>1.9396845870734273E-3</v>
      </c>
      <c r="AM49" t="str">
        <f t="shared" si="57"/>
        <v>1-0,000161282744509546i</v>
      </c>
      <c r="AN49">
        <f t="shared" si="79"/>
        <v>1.0000000130060618</v>
      </c>
      <c r="AO49">
        <f t="shared" si="80"/>
        <v>-1.6128274311111047E-4</v>
      </c>
      <c r="AP49" s="41" t="str">
        <f t="shared" si="81"/>
        <v>129,711682774278-73,2648201874237i</v>
      </c>
      <c r="AQ49">
        <f t="shared" si="82"/>
        <v>43.46213166352107</v>
      </c>
      <c r="AR49" s="43">
        <f t="shared" si="83"/>
        <v>-29.458987514480281</v>
      </c>
      <c r="AS49" t="str">
        <f t="shared" si="58"/>
        <v>-0,0000166666666666667</v>
      </c>
      <c r="AT49" t="str">
        <f t="shared" si="59"/>
        <v>1,96662711718049E-07i</v>
      </c>
      <c r="AU49">
        <f t="shared" si="84"/>
        <v>1.96662711718049E-7</v>
      </c>
      <c r="AV49">
        <f t="shared" si="85"/>
        <v>1.5707963267948966</v>
      </c>
      <c r="AW49" t="str">
        <f t="shared" si="60"/>
        <v>1+0,000911308861328037i</v>
      </c>
      <c r="AX49">
        <f t="shared" si="86"/>
        <v>1.0000004152418343</v>
      </c>
      <c r="AY49">
        <f t="shared" si="87"/>
        <v>9.1130860905240161E-4</v>
      </c>
      <c r="AZ49" t="str">
        <f t="shared" si="61"/>
        <v>1+0,0423344389216934i</v>
      </c>
      <c r="BA49">
        <f t="shared" si="88"/>
        <v>1.0008957012190705</v>
      </c>
      <c r="BB49">
        <f t="shared" si="89"/>
        <v>4.2309175422150749E-2</v>
      </c>
      <c r="BC49" s="41" t="str">
        <f t="shared" si="90"/>
        <v>-3,51050243140324+84,7506661276213i</v>
      </c>
      <c r="BD49">
        <f t="shared" si="91"/>
        <v>38.570307401089352</v>
      </c>
      <c r="BE49" s="43">
        <f t="shared" si="92"/>
        <v>92.371923049235235</v>
      </c>
      <c r="BF49" s="41" t="str">
        <f t="shared" si="93"/>
        <v>1847,38987009057+3571,89056016312i</v>
      </c>
      <c r="BG49" s="20">
        <f t="shared" si="94"/>
        <v>72.087436315991781</v>
      </c>
      <c r="BH49" s="43">
        <f t="shared" si="95"/>
        <v>62.65189253583042</v>
      </c>
      <c r="BI49" s="41" t="str">
        <f t="shared" si="96"/>
        <v>5753,88913684405+11250,347849059i</v>
      </c>
      <c r="BJ49" s="20">
        <f t="shared" si="97"/>
        <v>82.032439064610401</v>
      </c>
      <c r="BK49" s="43">
        <f t="shared" si="98"/>
        <v>62.912935534754872</v>
      </c>
      <c r="BL49">
        <f t="shared" si="99"/>
        <v>72.087436315991781</v>
      </c>
      <c r="BM49" s="43">
        <f t="shared" si="100"/>
        <v>62.65189253583042</v>
      </c>
    </row>
    <row r="50" spans="1:65" x14ac:dyDescent="0.25">
      <c r="B50" s="1"/>
      <c r="J50">
        <f>Lm*Fsw</f>
        <v>1.5</v>
      </c>
      <c r="N50" s="9">
        <v>32</v>
      </c>
      <c r="O50" s="34">
        <f t="shared" si="62"/>
        <v>20.8929613085404</v>
      </c>
      <c r="P50" s="33" t="str">
        <f t="shared" si="50"/>
        <v>54,631621870174</v>
      </c>
      <c r="Q50" s="4" t="str">
        <f t="shared" si="63"/>
        <v>1+0,585995580610811i</v>
      </c>
      <c r="R50" s="4">
        <f t="shared" si="64"/>
        <v>1.1590473762946023</v>
      </c>
      <c r="S50" s="4">
        <f t="shared" si="65"/>
        <v>0.53005848685566137</v>
      </c>
      <c r="T50" s="4" t="str">
        <f t="shared" si="51"/>
        <v>1+0,00198486813446147i</v>
      </c>
      <c r="U50" s="4">
        <f t="shared" si="66"/>
        <v>1.0000019698488154</v>
      </c>
      <c r="V50" s="4">
        <f t="shared" si="67"/>
        <v>1.9848655278716354E-3</v>
      </c>
      <c r="W50" t="str">
        <f t="shared" si="52"/>
        <v>1-0,000522385110161789i</v>
      </c>
      <c r="X50" s="4">
        <f t="shared" si="68"/>
        <v>1.0000001364430924</v>
      </c>
      <c r="Y50" s="4">
        <f t="shared" si="69"/>
        <v>-5.2238506264456694E-4</v>
      </c>
      <c r="Z50" t="str">
        <f t="shared" si="53"/>
        <v>0,999999998253937+0,0000717714890631929i</v>
      </c>
      <c r="AA50" s="4">
        <f t="shared" si="70"/>
        <v>1.0000000008295102</v>
      </c>
      <c r="AB50" s="4">
        <f t="shared" si="71"/>
        <v>7.1771489065275285E-5</v>
      </c>
      <c r="AC50" s="47" t="str">
        <f t="shared" si="72"/>
        <v>40,7001486925221-23,7741304416284i</v>
      </c>
      <c r="AD50" s="20">
        <f t="shared" si="73"/>
        <v>33.466876399281183</v>
      </c>
      <c r="AE50" s="43">
        <f t="shared" si="74"/>
        <v>-30.290432437054996</v>
      </c>
      <c r="AF50" t="str">
        <f t="shared" si="54"/>
        <v>171,265703090588</v>
      </c>
      <c r="AG50" t="str">
        <f t="shared" si="55"/>
        <v>1+0,580387592686698i</v>
      </c>
      <c r="AH50">
        <f t="shared" si="75"/>
        <v>1.1562221922038429</v>
      </c>
      <c r="AI50">
        <f t="shared" si="76"/>
        <v>0.52587377221633669</v>
      </c>
      <c r="AJ50" t="str">
        <f t="shared" si="56"/>
        <v>1+0,00198486813446147i</v>
      </c>
      <c r="AK50">
        <f t="shared" si="77"/>
        <v>1.0000019698488154</v>
      </c>
      <c r="AL50">
        <f t="shared" si="78"/>
        <v>1.9848655278716354E-3</v>
      </c>
      <c r="AM50" t="str">
        <f t="shared" si="57"/>
        <v>1-0,000165039502232427i</v>
      </c>
      <c r="AN50">
        <f t="shared" si="79"/>
        <v>1.0000000136190186</v>
      </c>
      <c r="AO50">
        <f t="shared" si="80"/>
        <v>-1.6503950073397633E-4</v>
      </c>
      <c r="AP50" s="41" t="str">
        <f t="shared" si="81"/>
        <v>128,246760757543-74,1211545157343i</v>
      </c>
      <c r="AQ50">
        <f t="shared" si="82"/>
        <v>43.412599247007861</v>
      </c>
      <c r="AR50" s="43">
        <f t="shared" si="83"/>
        <v>-30.026079353817092</v>
      </c>
      <c r="AS50" t="str">
        <f t="shared" si="58"/>
        <v>-0,0000166666666666667</v>
      </c>
      <c r="AT50" t="str">
        <f t="shared" si="59"/>
        <v>2,0124357474401E-07i</v>
      </c>
      <c r="AU50">
        <f t="shared" si="84"/>
        <v>2.0124357474401001E-7</v>
      </c>
      <c r="AV50">
        <f t="shared" si="85"/>
        <v>1.5707963267948966</v>
      </c>
      <c r="AW50" t="str">
        <f t="shared" si="60"/>
        <v>1+0,000932535971600339i</v>
      </c>
      <c r="AX50">
        <f t="shared" si="86"/>
        <v>1.0000004348115745</v>
      </c>
      <c r="AY50">
        <f t="shared" si="87"/>
        <v>9.3253570128213183E-4</v>
      </c>
      <c r="AZ50" t="str">
        <f t="shared" si="61"/>
        <v>1+0,0433205346807067i</v>
      </c>
      <c r="BA50">
        <f t="shared" si="88"/>
        <v>1.0009378945394276</v>
      </c>
      <c r="BB50">
        <f t="shared" si="89"/>
        <v>4.3293465722993432E-2</v>
      </c>
      <c r="BC50" s="41" t="str">
        <f t="shared" si="90"/>
        <v>-3,51050229400407+82,8216527799938i</v>
      </c>
      <c r="BD50">
        <f t="shared" si="91"/>
        <v>38.370673381946624</v>
      </c>
      <c r="BE50" s="43">
        <f t="shared" si="92"/>
        <v>92.427102506493085</v>
      </c>
      <c r="BF50" s="41" t="str">
        <f t="shared" si="93"/>
        <v>1826,13481123142+3454,31272255947i</v>
      </c>
      <c r="BG50" s="20">
        <f t="shared" si="94"/>
        <v>71.837549781227793</v>
      </c>
      <c r="BH50" s="43">
        <f t="shared" si="95"/>
        <v>62.136670069438118</v>
      </c>
      <c r="BI50" s="41" t="str">
        <f t="shared" ref="BI50:BI113" si="101">IMPRODUCT(AP50,BC50)</f>
        <v>5688,62597511647+10881,8111725819i</v>
      </c>
      <c r="BJ50" s="20">
        <f t="shared" si="97"/>
        <v>81.783272628954506</v>
      </c>
      <c r="BK50" s="43">
        <f t="shared" ref="BK50:BK113" si="102">(180/PI())*IMARGUMENT(BI50)</f>
        <v>62.401023152676039</v>
      </c>
      <c r="BL50">
        <f t="shared" si="99"/>
        <v>71.837549781227793</v>
      </c>
      <c r="BM50" s="43">
        <f t="shared" si="100"/>
        <v>62.136670069438118</v>
      </c>
    </row>
    <row r="51" spans="1:65" x14ac:dyDescent="0.25">
      <c r="A51" t="s">
        <v>210</v>
      </c>
      <c r="B51" s="1">
        <f>2*PI()*Fsw</f>
        <v>6283185.307179586</v>
      </c>
      <c r="C51" t="s">
        <v>216</v>
      </c>
      <c r="N51" s="9">
        <v>33</v>
      </c>
      <c r="O51" s="34">
        <f t="shared" si="62"/>
        <v>21.379620895022335</v>
      </c>
      <c r="P51" s="33" t="str">
        <f t="shared" si="50"/>
        <v>54,631621870174</v>
      </c>
      <c r="Q51" s="4" t="str">
        <f t="shared" si="63"/>
        <v>1+0,599645171146533i</v>
      </c>
      <c r="R51" s="4">
        <f t="shared" si="64"/>
        <v>1.1660078607279434</v>
      </c>
      <c r="S51" s="4">
        <f t="shared" si="65"/>
        <v>0.54015855585898331</v>
      </c>
      <c r="T51" s="4" t="str">
        <f t="shared" si="51"/>
        <v>1+0,00203110165259579i</v>
      </c>
      <c r="U51" s="4">
        <f t="shared" si="66"/>
        <v>1.0000020626848343</v>
      </c>
      <c r="V51" s="4">
        <f t="shared" si="67"/>
        <v>2.0310988595847721E-3</v>
      </c>
      <c r="W51" t="str">
        <f t="shared" si="52"/>
        <v>1-0,000534553022500367i</v>
      </c>
      <c r="X51" s="4">
        <f t="shared" si="68"/>
        <v>1.0000001428734568</v>
      </c>
      <c r="Y51" s="4">
        <f t="shared" si="69"/>
        <v>-5.3455297158474667E-4</v>
      </c>
      <c r="Z51" t="str">
        <f t="shared" si="53"/>
        <v>0,999999998171647+0,0000734432618039199i</v>
      </c>
      <c r="AA51" s="4">
        <f t="shared" si="70"/>
        <v>1.0000000008686032</v>
      </c>
      <c r="AB51" s="4">
        <f t="shared" si="71"/>
        <v>7.344326180615127E-5</v>
      </c>
      <c r="AC51" s="47" t="str">
        <f t="shared" si="72"/>
        <v>40,2172254068345-24,0383184623989i</v>
      </c>
      <c r="AD51" s="20">
        <f t="shared" si="73"/>
        <v>33.414871459948301</v>
      </c>
      <c r="AE51" s="43">
        <f t="shared" si="74"/>
        <v>-30.867267744306375</v>
      </c>
      <c r="AF51" t="str">
        <f t="shared" si="54"/>
        <v>171,265703090588</v>
      </c>
      <c r="AG51" t="str">
        <f t="shared" si="55"/>
        <v>1+0,593906556402993i</v>
      </c>
      <c r="AH51">
        <f t="shared" si="75"/>
        <v>1.1630670650218162</v>
      </c>
      <c r="AI51">
        <f t="shared" si="76"/>
        <v>0.53592698001020544</v>
      </c>
      <c r="AJ51" t="str">
        <f t="shared" si="56"/>
        <v>1+0,00203110165259579i</v>
      </c>
      <c r="AK51">
        <f t="shared" si="77"/>
        <v>1.0000020626848343</v>
      </c>
      <c r="AL51">
        <f t="shared" si="78"/>
        <v>2.0310988595847721E-3</v>
      </c>
      <c r="AM51" t="str">
        <f t="shared" si="57"/>
        <v>1-0,000168883766083946i</v>
      </c>
      <c r="AN51">
        <f t="shared" si="79"/>
        <v>1.0000000142608632</v>
      </c>
      <c r="AO51">
        <f t="shared" si="80"/>
        <v>-1.6888376447832717E-4</v>
      </c>
      <c r="AP51" s="41" t="str">
        <f t="shared" si="81"/>
        <v>126,747993236997-74,9575301387335i</v>
      </c>
      <c r="AQ51">
        <f t="shared" si="82"/>
        <v>43.361330919216179</v>
      </c>
      <c r="AR51" s="43">
        <f t="shared" si="83"/>
        <v>-30.599657016281682</v>
      </c>
      <c r="AS51" t="str">
        <f t="shared" si="58"/>
        <v>-0,0000166666666666667</v>
      </c>
      <c r="AT51" t="str">
        <f t="shared" si="59"/>
        <v>2,05931139777073E-07i</v>
      </c>
      <c r="AU51">
        <f t="shared" si="84"/>
        <v>2.05931139777073E-7</v>
      </c>
      <c r="AV51">
        <f t="shared" si="85"/>
        <v>1.5707963267948966</v>
      </c>
      <c r="AW51" t="str">
        <f t="shared" si="60"/>
        <v>1+0,000954257524788349i</v>
      </c>
      <c r="AX51">
        <f t="shared" si="86"/>
        <v>1.0000004553036081</v>
      </c>
      <c r="AY51">
        <f t="shared" si="87"/>
        <v>9.5425723513717852E-4</v>
      </c>
      <c r="AZ51" t="str">
        <f t="shared" si="61"/>
        <v>1+0,0443295995606224i</v>
      </c>
      <c r="BA51">
        <f t="shared" si="88"/>
        <v>1.0009820744634768</v>
      </c>
      <c r="BB51">
        <f t="shared" si="89"/>
        <v>4.4300596186571575E-2</v>
      </c>
      <c r="BC51" s="41" t="str">
        <f t="shared" si="90"/>
        <v>-3,51050215012947+80,9365525689328i</v>
      </c>
      <c r="BD51">
        <f t="shared" si="91"/>
        <v>38.17105657786675</v>
      </c>
      <c r="BE51" s="43">
        <f t="shared" si="92"/>
        <v>92.48356227926071</v>
      </c>
      <c r="BF51" s="41" t="str">
        <f t="shared" si="93"/>
        <v>1804,39596963776+3339,43014696463i</v>
      </c>
      <c r="BG51" s="20">
        <f t="shared" si="94"/>
        <v>71.585928037815037</v>
      </c>
      <c r="BH51" s="43">
        <f t="shared" si="95"/>
        <v>61.616294534954385</v>
      </c>
      <c r="BI51" s="41" t="str">
        <f t="shared" si="101"/>
        <v>5621,8549757279+10521,6841883534i</v>
      </c>
      <c r="BJ51" s="20">
        <f t="shared" si="97"/>
        <v>81.532387497082951</v>
      </c>
      <c r="BK51" s="43">
        <f t="shared" si="102"/>
        <v>61.883905262979091</v>
      </c>
      <c r="BL51">
        <f t="shared" si="99"/>
        <v>71.585928037815037</v>
      </c>
      <c r="BM51" s="43">
        <f t="shared" si="100"/>
        <v>61.616294534954385</v>
      </c>
    </row>
    <row r="52" spans="1:65" x14ac:dyDescent="0.25">
      <c r="A52" t="s">
        <v>211</v>
      </c>
      <c r="B52" s="1">
        <f>1/(PI()*(((VIN_var/VOUT)*(1+(B48/B49)))-0.5))</f>
        <v>0.58220782601137799</v>
      </c>
      <c r="N52" s="9">
        <v>34</v>
      </c>
      <c r="O52" s="34">
        <f t="shared" si="62"/>
        <v>21.877616239495538</v>
      </c>
      <c r="P52" s="33" t="str">
        <f t="shared" si="50"/>
        <v>54,631621870174</v>
      </c>
      <c r="Q52" s="4" t="str">
        <f t="shared" si="63"/>
        <v>1+0,613612701489241i</v>
      </c>
      <c r="R52" s="4">
        <f t="shared" si="64"/>
        <v>1.1732521244084428</v>
      </c>
      <c r="S52" s="4">
        <f t="shared" si="65"/>
        <v>0.55036875803325025</v>
      </c>
      <c r="T52" s="4" t="str">
        <f t="shared" si="51"/>
        <v>1+0,00207841208771113i</v>
      </c>
      <c r="U52" s="4">
        <f t="shared" si="66"/>
        <v>1.0000021598960707</v>
      </c>
      <c r="V52" s="4">
        <f t="shared" si="67"/>
        <v>2.0784090949462538E-3</v>
      </c>
      <c r="W52" t="str">
        <f t="shared" si="52"/>
        <v>1-0,000547004361927122i</v>
      </c>
      <c r="X52" s="4">
        <f t="shared" si="68"/>
        <v>1.0000001496068749</v>
      </c>
      <c r="Y52" s="4">
        <f t="shared" si="69"/>
        <v>-5.4700430737005229E-4</v>
      </c>
      <c r="Z52" t="str">
        <f t="shared" si="53"/>
        <v>0,99999999808548+0,000075153975134192i</v>
      </c>
      <c r="AA52" s="4">
        <f t="shared" si="70"/>
        <v>1.0000000009095398</v>
      </c>
      <c r="AB52" s="4">
        <f t="shared" si="71"/>
        <v>7.5153975136582895E-5</v>
      </c>
      <c r="AC52" s="47" t="str">
        <f t="shared" si="72"/>
        <v>39,7237132847281-24,2954175225463i</v>
      </c>
      <c r="AD52" s="20">
        <f t="shared" si="73"/>
        <v>33.361074942413936</v>
      </c>
      <c r="AE52" s="43">
        <f t="shared" si="74"/>
        <v>-31.450369985696774</v>
      </c>
      <c r="AF52" t="str">
        <f t="shared" si="54"/>
        <v>171,265703090588</v>
      </c>
      <c r="AG52" t="str">
        <f t="shared" si="55"/>
        <v>1+0,607740417236778i</v>
      </c>
      <c r="AH52">
        <f t="shared" si="75"/>
        <v>1.1701916145414533</v>
      </c>
      <c r="AI52">
        <f t="shared" si="76"/>
        <v>0.54609155306086521</v>
      </c>
      <c r="AJ52" t="str">
        <f t="shared" si="56"/>
        <v>1+0,00207841208771113i</v>
      </c>
      <c r="AK52">
        <f t="shared" si="77"/>
        <v>1.0000021598960707</v>
      </c>
      <c r="AL52">
        <f t="shared" si="78"/>
        <v>2.0784090949462538E-3</v>
      </c>
      <c r="AM52" t="str">
        <f t="shared" si="57"/>
        <v>1-0,000172817574343684i</v>
      </c>
      <c r="AN52">
        <f t="shared" si="79"/>
        <v>1.0000000149329569</v>
      </c>
      <c r="AO52">
        <f t="shared" si="80"/>
        <v>-1.7281757262323241E-4</v>
      </c>
      <c r="AP52" s="41" t="str">
        <f t="shared" si="81"/>
        <v>125,215837501202-75,7723623434955i</v>
      </c>
      <c r="AQ52">
        <f t="shared" si="82"/>
        <v>43.30828729242279</v>
      </c>
      <c r="AR52" s="43">
        <f t="shared" si="83"/>
        <v>-31.179558866426959</v>
      </c>
      <c r="AS52" t="str">
        <f t="shared" si="58"/>
        <v>-0,0000166666666666667</v>
      </c>
      <c r="AT52" t="str">
        <f t="shared" si="59"/>
        <v>2,10727892226267E-07i</v>
      </c>
      <c r="AU52">
        <f t="shared" si="84"/>
        <v>2.10727892226267E-7</v>
      </c>
      <c r="AV52">
        <f t="shared" si="85"/>
        <v>1.5707963267948966</v>
      </c>
      <c r="AW52" t="str">
        <f t="shared" si="60"/>
        <v>1+0,000976485037947097i</v>
      </c>
      <c r="AX52">
        <f t="shared" si="86"/>
        <v>1.000000476761401</v>
      </c>
      <c r="AY52">
        <f t="shared" si="87"/>
        <v>9.7648472758028401E-4</v>
      </c>
      <c r="AZ52" t="str">
        <f t="shared" si="61"/>
        <v>1+0,045362168580997i</v>
      </c>
      <c r="BA52">
        <f t="shared" si="88"/>
        <v>1.0010283344333319</v>
      </c>
      <c r="BB52">
        <f t="shared" si="89"/>
        <v>4.5331092629780724E-2</v>
      </c>
      <c r="BC52" s="41" t="str">
        <f t="shared" si="90"/>
        <v>-3,51050199947431+79,0943659893527i</v>
      </c>
      <c r="BD52">
        <f t="shared" si="91"/>
        <v>37.971457796985128</v>
      </c>
      <c r="BE52" s="43">
        <f t="shared" si="92"/>
        <v>92.541331834753692</v>
      </c>
      <c r="BF52" s="41" t="str">
        <f t="shared" si="93"/>
        <v>1782,18047047983+3227,21102878936i</v>
      </c>
      <c r="BG52" s="20">
        <f t="shared" si="94"/>
        <v>71.33253273939907</v>
      </c>
      <c r="BH52" s="43">
        <f t="shared" si="95"/>
        <v>61.09096184905691</v>
      </c>
      <c r="BI52" s="41" t="str">
        <f t="shared" si="101"/>
        <v>5553,59651116046+10169,8663084951i</v>
      </c>
      <c r="BJ52" s="20">
        <f t="shared" si="97"/>
        <v>81.279745089407925</v>
      </c>
      <c r="BK52" s="43">
        <f t="shared" si="102"/>
        <v>61.361772968326704</v>
      </c>
      <c r="BL52">
        <f t="shared" si="99"/>
        <v>71.33253273939907</v>
      </c>
      <c r="BM52" s="43">
        <f t="shared" si="100"/>
        <v>61.09096184905691</v>
      </c>
    </row>
    <row r="53" spans="1:65" x14ac:dyDescent="0.25">
      <c r="N53" s="9">
        <v>35</v>
      </c>
      <c r="O53" s="34">
        <f t="shared" si="62"/>
        <v>22.387211385683404</v>
      </c>
      <c r="P53" s="33" t="str">
        <f t="shared" si="50"/>
        <v>54,631621870174</v>
      </c>
      <c r="Q53" s="4" t="str">
        <f t="shared" si="63"/>
        <v>1+0,627905577408404i</v>
      </c>
      <c r="R53" s="4">
        <f t="shared" si="64"/>
        <v>1.1807901651608474</v>
      </c>
      <c r="S53" s="4">
        <f t="shared" si="65"/>
        <v>0.56068599134685082</v>
      </c>
      <c r="T53" s="4" t="str">
        <f t="shared" si="51"/>
        <v>1+0,00212682452442642i</v>
      </c>
      <c r="U53" s="4">
        <f t="shared" si="66"/>
        <v>1.0000022616887212</v>
      </c>
      <c r="V53" s="4">
        <f t="shared" si="67"/>
        <v>2.1268213176214709E-3</v>
      </c>
      <c r="W53" t="str">
        <f t="shared" si="52"/>
        <v>1-0,000559745730307031i</v>
      </c>
      <c r="X53" s="4">
        <f t="shared" si="68"/>
        <v>1.0000001566576291</v>
      </c>
      <c r="Y53" s="4">
        <f t="shared" si="69"/>
        <v>-5.597456718480782E-4</v>
      </c>
      <c r="Z53" t="str">
        <f t="shared" si="53"/>
        <v>0,999999997995251+0,0000769045360968609i</v>
      </c>
      <c r="AA53" s="4">
        <f t="shared" si="70"/>
        <v>1.0000000009524048</v>
      </c>
      <c r="AB53" s="4">
        <f t="shared" si="71"/>
        <v>7.6904536099422824E-5</v>
      </c>
      <c r="AC53" s="47" t="str">
        <f t="shared" si="72"/>
        <v>39,2198005582611-24,5449208841208i</v>
      </c>
      <c r="AD53" s="20">
        <f t="shared" si="73"/>
        <v>33.30544832786552</v>
      </c>
      <c r="AE53" s="43">
        <f t="shared" si="74"/>
        <v>-32.039560420946458</v>
      </c>
      <c r="AF53" t="str">
        <f t="shared" si="54"/>
        <v>171,265703090588</v>
      </c>
      <c r="AG53" t="str">
        <f t="shared" si="55"/>
        <v>1+0,621896510084178i</v>
      </c>
      <c r="AH53">
        <f t="shared" si="75"/>
        <v>1.1776057359128649</v>
      </c>
      <c r="AI53">
        <f t="shared" si="76"/>
        <v>0.5563644787632287</v>
      </c>
      <c r="AJ53" t="str">
        <f t="shared" si="56"/>
        <v>1+0,00212682452442642i</v>
      </c>
      <c r="AK53">
        <f t="shared" si="77"/>
        <v>1.0000022616887212</v>
      </c>
      <c r="AL53">
        <f t="shared" si="78"/>
        <v>2.1268213176214709E-3</v>
      </c>
      <c r="AM53" t="str">
        <f t="shared" si="57"/>
        <v>1-0,000176843012768851i</v>
      </c>
      <c r="AN53">
        <f t="shared" si="79"/>
        <v>1.0000000156367255</v>
      </c>
      <c r="AO53">
        <f t="shared" si="80"/>
        <v>-1.7684301092535392E-4</v>
      </c>
      <c r="AP53" s="41" t="str">
        <f t="shared" si="81"/>
        <v>123,650843769948-76,5640632548867i</v>
      </c>
      <c r="AQ53">
        <f t="shared" si="82"/>
        <v>43.253429568893793</v>
      </c>
      <c r="AR53" s="43">
        <f t="shared" si="83"/>
        <v>-31.7656109770131</v>
      </c>
      <c r="AS53" t="str">
        <f t="shared" si="58"/>
        <v>-0,0000166666666666667</v>
      </c>
      <c r="AT53" t="str">
        <f t="shared" si="59"/>
        <v>2,15636375393234E-07i</v>
      </c>
      <c r="AU53">
        <f t="shared" si="84"/>
        <v>2.1563637539323401E-7</v>
      </c>
      <c r="AV53">
        <f t="shared" si="85"/>
        <v>1.5707963267948966</v>
      </c>
      <c r="AW53" t="str">
        <f t="shared" si="60"/>
        <v>1+0,000999230296398273i</v>
      </c>
      <c r="AX53">
        <f t="shared" si="86"/>
        <v>1.0000004992304681</v>
      </c>
      <c r="AY53">
        <f t="shared" si="87"/>
        <v>9.9922996383425017E-4</v>
      </c>
      <c r="AZ53" t="str">
        <f t="shared" si="61"/>
        <v>1+0,0464187892235925i</v>
      </c>
      <c r="BA53">
        <f t="shared" si="88"/>
        <v>1.0010767722772236</v>
      </c>
      <c r="BB53">
        <f t="shared" si="89"/>
        <v>4.638549267602974E-2</v>
      </c>
      <c r="BC53" s="41" t="str">
        <f t="shared" si="90"/>
        <v>-3,51050184171896+77,2941162895435i</v>
      </c>
      <c r="BD53">
        <f t="shared" si="91"/>
        <v>37.77187788521708</v>
      </c>
      <c r="BE53" s="43">
        <f t="shared" si="92"/>
        <v>92.600441301280782</v>
      </c>
      <c r="BF53" s="41" t="str">
        <f t="shared" si="93"/>
        <v>1759,49678704325+3117,62481517149i</v>
      </c>
      <c r="BG53" s="20">
        <f t="shared" si="94"/>
        <v>71.0773262130826</v>
      </c>
      <c r="BH53" s="43">
        <f t="shared" si="95"/>
        <v>60.560880880334359</v>
      </c>
      <c r="BI53" s="41" t="str">
        <f t="shared" si="101"/>
        <v>5483,87509403867+9826,2609827203i</v>
      </c>
      <c r="BJ53" s="20">
        <f t="shared" si="97"/>
        <v>81.025307454110873</v>
      </c>
      <c r="BK53" s="43">
        <f t="shared" si="102"/>
        <v>60.834830324267671</v>
      </c>
      <c r="BL53">
        <f t="shared" si="99"/>
        <v>71.0773262130826</v>
      </c>
      <c r="BM53" s="43">
        <f t="shared" si="100"/>
        <v>60.560880880334359</v>
      </c>
    </row>
    <row r="54" spans="1:65" ht="15.75" x14ac:dyDescent="0.25">
      <c r="A54" s="35" t="s">
        <v>225</v>
      </c>
      <c r="N54" s="9">
        <v>36</v>
      </c>
      <c r="O54" s="34">
        <f t="shared" si="62"/>
        <v>22.908676527677727</v>
      </c>
      <c r="P54" s="33" t="str">
        <f t="shared" si="50"/>
        <v>54,631621870174</v>
      </c>
      <c r="Q54" s="4" t="str">
        <f t="shared" si="63"/>
        <v>1+0,64253137717602i</v>
      </c>
      <c r="R54" s="4">
        <f t="shared" si="64"/>
        <v>1.1886322268286826</v>
      </c>
      <c r="S54" s="4">
        <f t="shared" si="65"/>
        <v>0.57110693999529905</v>
      </c>
      <c r="T54" s="4" t="str">
        <f t="shared" si="51"/>
        <v>1+0,0021763646316564i</v>
      </c>
      <c r="U54" s="4">
        <f t="shared" si="66"/>
        <v>1.0000023682787007</v>
      </c>
      <c r="V54" s="4">
        <f t="shared" si="67"/>
        <v>2.1763611955034285E-3</v>
      </c>
      <c r="W54" t="str">
        <f t="shared" si="52"/>
        <v>1-0,000572783883282257i</v>
      </c>
      <c r="X54" s="4">
        <f t="shared" si="68"/>
        <v>1.000000164040675</v>
      </c>
      <c r="Y54" s="4">
        <f t="shared" si="69"/>
        <v>-5.7278382064236092E-4</v>
      </c>
      <c r="Z54" t="str">
        <f t="shared" si="53"/>
        <v>0,99999999790077+0,00007869587286252i</v>
      </c>
      <c r="AA54" s="4">
        <f t="shared" si="70"/>
        <v>1.00000000099729</v>
      </c>
      <c r="AB54" s="4">
        <f t="shared" si="71"/>
        <v>7.8695872865265165E-5</v>
      </c>
      <c r="AC54" s="47" t="str">
        <f t="shared" si="72"/>
        <v>38,7057059803351-24,7863236399098i</v>
      </c>
      <c r="AD54" s="20">
        <f t="shared" si="73"/>
        <v>33.24795384416521</v>
      </c>
      <c r="AE54" s="43">
        <f t="shared" si="74"/>
        <v>-32.634648038039835</v>
      </c>
      <c r="AF54" t="str">
        <f t="shared" si="54"/>
        <v>171,265703090588</v>
      </c>
      <c r="AG54" t="str">
        <f t="shared" si="55"/>
        <v>1+0,636382340692996i</v>
      </c>
      <c r="AH54">
        <f t="shared" si="75"/>
        <v>1.1853195702197348</v>
      </c>
      <c r="AI54">
        <f t="shared" si="76"/>
        <v>0.56674253049220402</v>
      </c>
      <c r="AJ54" t="str">
        <f t="shared" si="56"/>
        <v>1+0,0021763646316564i</v>
      </c>
      <c r="AK54">
        <f t="shared" si="77"/>
        <v>1.0000023682787007</v>
      </c>
      <c r="AL54">
        <f t="shared" si="78"/>
        <v>2.1763611955034285E-3</v>
      </c>
      <c r="AM54" t="str">
        <f t="shared" si="57"/>
        <v>1-0,000180962215700181i</v>
      </c>
      <c r="AN54">
        <f t="shared" si="79"/>
        <v>1.0000000163736615</v>
      </c>
      <c r="AO54">
        <f t="shared" si="80"/>
        <v>-1.8096221372483829E-4</v>
      </c>
      <c r="AP54" s="41" t="str">
        <f t="shared" si="81"/>
        <v>122,053657177439-77,3310480470015i</v>
      </c>
      <c r="AQ54">
        <f t="shared" si="82"/>
        <v>43.196719650957633</v>
      </c>
      <c r="AR54" s="43">
        <f t="shared" si="83"/>
        <v>-32.357627127666966</v>
      </c>
      <c r="AS54" t="str">
        <f t="shared" si="58"/>
        <v>-0,0000166666666666667</v>
      </c>
      <c r="AT54" t="str">
        <f t="shared" si="59"/>
        <v>2,20659191820718E-07i</v>
      </c>
      <c r="AU54">
        <f t="shared" si="84"/>
        <v>2.2065919182071801E-7</v>
      </c>
      <c r="AV54">
        <f t="shared" si="85"/>
        <v>1.5707963267948966</v>
      </c>
      <c r="AW54" t="str">
        <f t="shared" si="60"/>
        <v>1+0,00102250535997897i</v>
      </c>
      <c r="AX54">
        <f t="shared" si="86"/>
        <v>1.000000522758469</v>
      </c>
      <c r="AY54">
        <f t="shared" si="87"/>
        <v>1.0225050036302094E-3</v>
      </c>
      <c r="AZ54" t="str">
        <f t="shared" si="61"/>
        <v>1+0,0475000217226596i</v>
      </c>
      <c r="BA54">
        <f t="shared" si="88"/>
        <v>1.0011274904145091</v>
      </c>
      <c r="BB54">
        <f t="shared" si="89"/>
        <v>4.7464345998930513E-2</v>
      </c>
      <c r="BC54" s="41" t="str">
        <f t="shared" si="90"/>
        <v>-3,51050167652887+75,5348489532852i</v>
      </c>
      <c r="BD54">
        <f t="shared" si="91"/>
        <v>37.572317728009025</v>
      </c>
      <c r="BE54" s="43">
        <f t="shared" si="92"/>
        <v>92.660921481848348</v>
      </c>
      <c r="BF54" s="41" t="str">
        <f t="shared" si="93"/>
        <v>1736,35476651263+3010,64208554777i</v>
      </c>
      <c r="BG54" s="20">
        <f t="shared" si="94"/>
        <v>70.820271572174235</v>
      </c>
      <c r="BH54" s="43">
        <f t="shared" si="95"/>
        <v>60.026273443808506</v>
      </c>
      <c r="BI54" s="41" t="str">
        <f t="shared" si="101"/>
        <v>5412,71946548162+9490,77533291064i</v>
      </c>
      <c r="BJ54" s="20">
        <f t="shared" si="97"/>
        <v>80.769037378966644</v>
      </c>
      <c r="BK54" s="43">
        <f t="shared" si="102"/>
        <v>60.303294354181375</v>
      </c>
      <c r="BL54">
        <f t="shared" si="99"/>
        <v>70.820271572174235</v>
      </c>
      <c r="BM54" s="43">
        <f t="shared" si="100"/>
        <v>60.026273443808506</v>
      </c>
    </row>
    <row r="55" spans="1:65" x14ac:dyDescent="0.25">
      <c r="A55" t="s">
        <v>191</v>
      </c>
      <c r="N55" s="9">
        <v>37</v>
      </c>
      <c r="O55" s="34">
        <f t="shared" si="62"/>
        <v>23.442288153199236</v>
      </c>
      <c r="P55" s="33" t="str">
        <f t="shared" si="50"/>
        <v>54,631621870174</v>
      </c>
      <c r="Q55" s="4" t="str">
        <f t="shared" si="63"/>
        <v>1+0,657497855584724i</v>
      </c>
      <c r="R55" s="4">
        <f t="shared" si="64"/>
        <v>1.1967887992868711</v>
      </c>
      <c r="S55" s="4">
        <f t="shared" si="65"/>
        <v>0.58162807561870078</v>
      </c>
      <c r="T55" s="4" t="str">
        <f t="shared" si="51"/>
        <v>1+0,00222705867622168i</v>
      </c>
      <c r="U55" s="4">
        <f t="shared" si="66"/>
        <v>1.0000024798920988</v>
      </c>
      <c r="V55" s="4">
        <f t="shared" si="67"/>
        <v>2.2270549943179284E-3</v>
      </c>
      <c r="W55" t="str">
        <f t="shared" si="52"/>
        <v>1-0,000586125733854092i</v>
      </c>
      <c r="X55" s="4">
        <f t="shared" si="68"/>
        <v>1.0000001717716733</v>
      </c>
      <c r="Y55" s="4">
        <f t="shared" si="69"/>
        <v>-5.8612566673423472E-4</v>
      </c>
      <c r="Z55" t="str">
        <f t="shared" si="53"/>
        <v>0,999999997801836+0,000080528935221634i</v>
      </c>
      <c r="AA55" s="4">
        <f t="shared" si="70"/>
        <v>1.0000000010442907</v>
      </c>
      <c r="AB55" s="4">
        <f t="shared" si="71"/>
        <v>8.0528935224575515E-5</v>
      </c>
      <c r="AC55" s="47" t="str">
        <f t="shared" si="72"/>
        <v>38,1816792436273-25,0191248297434i</v>
      </c>
      <c r="AD55" s="20">
        <f t="shared" si="73"/>
        <v>33.188554578671273</v>
      </c>
      <c r="AE55" s="43">
        <f t="shared" si="74"/>
        <v>-33.235429622434665</v>
      </c>
      <c r="AF55" t="str">
        <f t="shared" si="54"/>
        <v>171,265703090588</v>
      </c>
      <c r="AG55" t="str">
        <f t="shared" si="55"/>
        <v>1+0,651205589642367i</v>
      </c>
      <c r="AH55">
        <f t="shared" si="75"/>
        <v>1.1933435046043794</v>
      </c>
      <c r="AI55">
        <f t="shared" si="76"/>
        <v>0.57722226844999047</v>
      </c>
      <c r="AJ55" t="str">
        <f t="shared" si="56"/>
        <v>1+0,00222705867622168i</v>
      </c>
      <c r="AK55">
        <f t="shared" si="77"/>
        <v>1.0000024798920988</v>
      </c>
      <c r="AL55">
        <f t="shared" si="78"/>
        <v>2.2270549943179284E-3</v>
      </c>
      <c r="AM55" t="str">
        <f t="shared" si="57"/>
        <v>1-0,000185177367193594i</v>
      </c>
      <c r="AN55">
        <f t="shared" si="79"/>
        <v>1.0000000171453285</v>
      </c>
      <c r="AO55">
        <f t="shared" si="80"/>
        <v>-1.8517736507697616E-4</v>
      </c>
      <c r="AP55" s="41" t="str">
        <f t="shared" si="81"/>
        <v>120,425019290827-78,0717414569583i</v>
      </c>
      <c r="AQ55">
        <f t="shared" si="82"/>
        <v>43.138120253133323</v>
      </c>
      <c r="AR55" s="43">
        <f t="shared" si="83"/>
        <v>-32.955408852714228</v>
      </c>
      <c r="AS55" t="str">
        <f t="shared" si="58"/>
        <v>-0,0000166666666666667</v>
      </c>
      <c r="AT55" t="str">
        <f t="shared" si="59"/>
        <v>2,25799004672475E-07i</v>
      </c>
      <c r="AU55">
        <f t="shared" si="84"/>
        <v>2.25799004672475E-7</v>
      </c>
      <c r="AV55">
        <f t="shared" si="85"/>
        <v>1.5707963267948966</v>
      </c>
      <c r="AW55" t="str">
        <f t="shared" si="60"/>
        <v>1+0,00104632256943599i</v>
      </c>
      <c r="AX55">
        <f t="shared" si="86"/>
        <v>1.0000005473953097</v>
      </c>
      <c r="AY55">
        <f t="shared" si="87"/>
        <v>1.046322187601425E-3</v>
      </c>
      <c r="AZ55" t="str">
        <f t="shared" si="61"/>
        <v>1+0,0486064393619812i</v>
      </c>
      <c r="BA55">
        <f t="shared" si="88"/>
        <v>1.0011805960701845</v>
      </c>
      <c r="BB55">
        <f t="shared" si="89"/>
        <v>4.8568214569452067E-2</v>
      </c>
      <c r="BC55" s="41" t="str">
        <f t="shared" si="90"/>
        <v>-3,51050150355364+73,815631193748i</v>
      </c>
      <c r="BD55">
        <f t="shared" si="91"/>
        <v>37.372778252168992</v>
      </c>
      <c r="BE55" s="43">
        <f t="shared" si="92"/>
        <v>92.722803867954937</v>
      </c>
      <c r="BF55" s="41" t="str">
        <f t="shared" si="93"/>
        <v>1712,76564882973+2906,23442873799i</v>
      </c>
      <c r="BG55" s="20">
        <f t="shared" si="94"/>
        <v>70.561332830840271</v>
      </c>
      <c r="BH55" s="43">
        <f t="shared" si="95"/>
        <v>59.48737424552025</v>
      </c>
      <c r="BI55" s="41" t="str">
        <f t="shared" si="101"/>
        <v>5340,16266275456+9163,31977624138i</v>
      </c>
      <c r="BJ55" s="20">
        <f t="shared" si="97"/>
        <v>80.510898505302322</v>
      </c>
      <c r="BK55" s="43">
        <f t="shared" si="102"/>
        <v>59.767395015240709</v>
      </c>
      <c r="BL55">
        <f t="shared" si="99"/>
        <v>70.561332830840271</v>
      </c>
      <c r="BM55" s="43">
        <f t="shared" si="100"/>
        <v>59.48737424552025</v>
      </c>
    </row>
    <row r="56" spans="1:65" x14ac:dyDescent="0.25">
      <c r="A56" t="s">
        <v>189</v>
      </c>
      <c r="B56" s="3">
        <f>RFBT</f>
        <v>3740</v>
      </c>
      <c r="C56" s="2" t="s">
        <v>36</v>
      </c>
      <c r="E56" t="s">
        <v>192</v>
      </c>
      <c r="N56" s="9">
        <v>38</v>
      </c>
      <c r="O56" s="34">
        <f t="shared" si="62"/>
        <v>23.988329190194907</v>
      </c>
      <c r="P56" s="33" t="str">
        <f t="shared" si="50"/>
        <v>54,631621870174</v>
      </c>
      <c r="Q56" s="4" t="str">
        <f t="shared" si="63"/>
        <v>1+0,672812948059469i</v>
      </c>
      <c r="R56" s="4">
        <f t="shared" si="64"/>
        <v>1.2052706181918125</v>
      </c>
      <c r="S56" s="4">
        <f t="shared" si="65"/>
        <v>0.59224565943050078</v>
      </c>
      <c r="T56" s="4" t="str">
        <f t="shared" si="51"/>
        <v>1+0,0022789335367757i</v>
      </c>
      <c r="U56" s="4">
        <f t="shared" si="66"/>
        <v>1.0000025967656609</v>
      </c>
      <c r="V56" s="4">
        <f t="shared" si="67"/>
        <v>2.2789295915453035E-3</v>
      </c>
      <c r="W56" t="str">
        <f t="shared" si="52"/>
        <v>1-0,000599778356048305i</v>
      </c>
      <c r="X56" s="4">
        <f t="shared" si="68"/>
        <v>1.0000001798670219</v>
      </c>
      <c r="Y56" s="4">
        <f t="shared" si="69"/>
        <v>-5.9977828412808285E-4</v>
      </c>
      <c r="Z56" t="str">
        <f t="shared" si="53"/>
        <v>0,99999999769824+0,0000824046950881286i</v>
      </c>
      <c r="AA56" s="4">
        <f t="shared" si="70"/>
        <v>1.0000000010935068</v>
      </c>
      <c r="AB56" s="4">
        <f t="shared" si="71"/>
        <v>8.2404695091280465E-5</v>
      </c>
      <c r="AC56" s="47" t="str">
        <f t="shared" si="72"/>
        <v>37,6480012330922-25,2428296359862i</v>
      </c>
      <c r="AD56" s="20">
        <f t="shared" si="73"/>
        <v>33.127214592295324</v>
      </c>
      <c r="AE56" s="43">
        <f t="shared" si="74"/>
        <v>-33.841689878471925</v>
      </c>
      <c r="AF56" t="str">
        <f t="shared" si="54"/>
        <v>171,265703090588</v>
      </c>
      <c r="AG56" t="str">
        <f t="shared" si="55"/>
        <v>1+0,666374116415089i</v>
      </c>
      <c r="AH56">
        <f t="shared" si="75"/>
        <v>1.2016881721261929</v>
      </c>
      <c r="AI56">
        <f t="shared" si="76"/>
        <v>0.58780004141019737</v>
      </c>
      <c r="AJ56" t="str">
        <f t="shared" si="56"/>
        <v>1+0,0022789335367757i</v>
      </c>
      <c r="AK56">
        <f t="shared" si="77"/>
        <v>1.0000025967656609</v>
      </c>
      <c r="AL56">
        <f t="shared" si="78"/>
        <v>2.2789295915453035E-3</v>
      </c>
      <c r="AM56" t="str">
        <f t="shared" si="57"/>
        <v>1-0,000189490702178204i</v>
      </c>
      <c r="AN56">
        <f t="shared" si="79"/>
        <v>1.000000017953363</v>
      </c>
      <c r="AO56">
        <f t="shared" si="80"/>
        <v>-1.8949069991020713E-4</v>
      </c>
      <c r="AP56" s="41" t="str">
        <f t="shared" si="81"/>
        <v>118,765769123508-78,7845845639009i</v>
      </c>
      <c r="AQ56">
        <f t="shared" si="82"/>
        <v>43.077595015745878</v>
      </c>
      <c r="AR56" s="43">
        <f t="shared" si="83"/>
        <v>-33.558745540378048</v>
      </c>
      <c r="AS56" t="str">
        <f t="shared" si="58"/>
        <v>-0,0000166666666666667</v>
      </c>
      <c r="AT56" t="str">
        <f t="shared" si="59"/>
        <v>2,31058539145313E-07i</v>
      </c>
      <c r="AU56">
        <f t="shared" si="84"/>
        <v>2.31058539145313E-7</v>
      </c>
      <c r="AV56">
        <f t="shared" si="85"/>
        <v>1.5707963267948966</v>
      </c>
      <c r="AW56" t="str">
        <f t="shared" si="60"/>
        <v>1+0,00107069455296904i</v>
      </c>
      <c r="AX56">
        <f t="shared" si="86"/>
        <v>1.0000005731932486</v>
      </c>
      <c r="AY56">
        <f t="shared" si="87"/>
        <v>1.0706941438259447E-3</v>
      </c>
      <c r="AZ56" t="str">
        <f t="shared" si="61"/>
        <v>1+0,0497386287788346i</v>
      </c>
      <c r="BA56">
        <f t="shared" si="88"/>
        <v>1.0012362014993259</v>
      </c>
      <c r="BB56">
        <f t="shared" si="89"/>
        <v>4.9697672906466379E-2</v>
      </c>
      <c r="BC56" s="41" t="str">
        <f t="shared" si="90"/>
        <v>-3,51050132242632+72,1355514589178i</v>
      </c>
      <c r="BD56">
        <f t="shared" si="91"/>
        <v>37.173260427780782</v>
      </c>
      <c r="BE56" s="43">
        <f t="shared" si="92"/>
        <v>92.786120653571572</v>
      </c>
      <c r="BF56" s="41" t="str">
        <f t="shared" si="93"/>
        <v>1688,7420780599+2804,37431709404i</v>
      </c>
      <c r="BG56" s="20">
        <f t="shared" si="94"/>
        <v>70.300475020076121</v>
      </c>
      <c r="BH56" s="43">
        <f t="shared" si="95"/>
        <v>58.944430775099711</v>
      </c>
      <c r="BI56" s="41" t="str">
        <f t="shared" si="101"/>
        <v>5266,24206441168+8843,80763846514i</v>
      </c>
      <c r="BJ56" s="20">
        <f t="shared" si="97"/>
        <v>80.250855443526646</v>
      </c>
      <c r="BK56" s="43">
        <f t="shared" si="102"/>
        <v>59.227375113193517</v>
      </c>
      <c r="BL56">
        <f t="shared" si="99"/>
        <v>70.300475020076121</v>
      </c>
      <c r="BM56" s="43">
        <f t="shared" si="100"/>
        <v>58.944430775099711</v>
      </c>
    </row>
    <row r="57" spans="1:65" x14ac:dyDescent="0.25">
      <c r="A57" t="s">
        <v>190</v>
      </c>
      <c r="B57" s="3">
        <f>RFBB</f>
        <v>30900</v>
      </c>
      <c r="C57" s="2" t="s">
        <v>36</v>
      </c>
      <c r="E57" t="s">
        <v>193</v>
      </c>
      <c r="N57" s="9">
        <v>39</v>
      </c>
      <c r="O57" s="34">
        <f t="shared" si="62"/>
        <v>24.547089156850316</v>
      </c>
      <c r="P57" s="33" t="str">
        <f t="shared" si="50"/>
        <v>54,631621870174</v>
      </c>
      <c r="Q57" s="4" t="str">
        <f t="shared" si="63"/>
        <v>1+0,688484774865008i</v>
      </c>
      <c r="R57" s="4">
        <f t="shared" si="64"/>
        <v>1.2140886644808611</v>
      </c>
      <c r="S57" s="4">
        <f t="shared" si="65"/>
        <v>0.60295574528803186</v>
      </c>
      <c r="T57" s="4" t="str">
        <f t="shared" si="51"/>
        <v>1+0,00233201671805616i</v>
      </c>
      <c r="U57" s="4">
        <f t="shared" si="66"/>
        <v>1.0000027191472898</v>
      </c>
      <c r="V57" s="4">
        <f t="shared" si="67"/>
        <v>2.3320124906662473E-3</v>
      </c>
      <c r="W57" t="str">
        <f t="shared" si="52"/>
        <v>1-0,0006137489886659i</v>
      </c>
      <c r="X57" s="4">
        <f t="shared" si="68"/>
        <v>1.0000001883438929</v>
      </c>
      <c r="Y57" s="4">
        <f t="shared" si="69"/>
        <v>-6.1374891160199431E-4</v>
      </c>
      <c r="Z57" t="str">
        <f t="shared" si="53"/>
        <v>0,999999997589762+0,0000843241470147141i</v>
      </c>
      <c r="AA57" s="4">
        <f t="shared" si="70"/>
        <v>1.0000000011450427</v>
      </c>
      <c r="AB57" s="4">
        <f t="shared" si="71"/>
        <v>8.4324147018091333E-5</v>
      </c>
      <c r="AC57" s="47" t="str">
        <f t="shared" si="72"/>
        <v>37,1049841005126-25,4569516438858i</v>
      </c>
      <c r="AD57" s="20">
        <f t="shared" si="73"/>
        <v>33.063899034163143</v>
      </c>
      <c r="AE57" s="43">
        <f t="shared" si="74"/>
        <v>-34.453201604733053</v>
      </c>
      <c r="AF57" t="str">
        <f t="shared" si="54"/>
        <v>171,265703090588</v>
      </c>
      <c r="AG57" t="str">
        <f t="shared" si="55"/>
        <v>1+0,681895963564838i</v>
      </c>
      <c r="AH57">
        <f t="shared" si="75"/>
        <v>1.2103644513641414</v>
      </c>
      <c r="AI57">
        <f t="shared" si="76"/>
        <v>0.59847198939176927</v>
      </c>
      <c r="AJ57" t="str">
        <f t="shared" si="56"/>
        <v>1+0,00233201671805616i</v>
      </c>
      <c r="AK57">
        <f t="shared" si="77"/>
        <v>1.0000027191472898</v>
      </c>
      <c r="AL57">
        <f t="shared" si="78"/>
        <v>2.3320124906662473E-3</v>
      </c>
      <c r="AM57" t="str">
        <f t="shared" si="57"/>
        <v>1-0,000193904507641315i</v>
      </c>
      <c r="AN57">
        <f t="shared" si="79"/>
        <v>1.0000000187994789</v>
      </c>
      <c r="AO57">
        <f t="shared" si="80"/>
        <v>-1.9390450521111256E-4</v>
      </c>
      <c r="AP57" s="41" t="str">
        <f t="shared" si="81"/>
        <v>117,076843605593-79,4680417905622i</v>
      </c>
      <c r="AQ57">
        <f t="shared" si="82"/>
        <v>43.015108619414391</v>
      </c>
      <c r="AR57" s="43">
        <f t="shared" si="83"/>
        <v>-34.167414585236685</v>
      </c>
      <c r="AS57" t="str">
        <f t="shared" si="58"/>
        <v>-0,0000166666666666667</v>
      </c>
      <c r="AT57" t="str">
        <f t="shared" si="59"/>
        <v>2,36440583914027E-07i</v>
      </c>
      <c r="AU57">
        <f t="shared" si="84"/>
        <v>2.36440583914027E-7</v>
      </c>
      <c r="AV57">
        <f t="shared" si="85"/>
        <v>1.5707963267948966</v>
      </c>
      <c r="AW57" t="str">
        <f t="shared" si="60"/>
        <v>1+0,00109563423292639i</v>
      </c>
      <c r="AX57">
        <f t="shared" si="86"/>
        <v>1.0000006002070061</v>
      </c>
      <c r="AY57">
        <f t="shared" si="87"/>
        <v>1.0956337945216791E-3</v>
      </c>
      <c r="AZ57" t="str">
        <f t="shared" si="61"/>
        <v>1+0,0508971902750352i</v>
      </c>
      <c r="BA57">
        <f t="shared" si="88"/>
        <v>1.0012944242219135</v>
      </c>
      <c r="BB57">
        <f t="shared" si="89"/>
        <v>5.0853308330601324E-2</v>
      </c>
      <c r="BC57" s="41" t="str">
        <f t="shared" si="90"/>
        <v>-3,51050113276277+70,4937189482798i</v>
      </c>
      <c r="BD57">
        <f t="shared" si="91"/>
        <v>36.973765270204865</v>
      </c>
      <c r="BE57" s="43">
        <f t="shared" si="92"/>
        <v>92.850904749302927</v>
      </c>
      <c r="BF57" s="41" t="str">
        <f t="shared" si="93"/>
        <v>1664,29810574804+2705,03497834447i</v>
      </c>
      <c r="BG57" s="20">
        <f t="shared" si="94"/>
        <v>70.037664304367993</v>
      </c>
      <c r="BH57" s="43">
        <f t="shared" si="95"/>
        <v>58.397703144569853</v>
      </c>
      <c r="BI57" s="41" t="str">
        <f t="shared" si="101"/>
        <v>5190,99941125632+8532,15475920859i</v>
      </c>
      <c r="BJ57" s="20">
        <f t="shared" si="97"/>
        <v>79.988873889619256</v>
      </c>
      <c r="BK57" s="43">
        <f t="shared" si="102"/>
        <v>58.683490164066249</v>
      </c>
      <c r="BL57">
        <f t="shared" si="99"/>
        <v>70.037664304367993</v>
      </c>
      <c r="BM57" s="43">
        <f t="shared" si="100"/>
        <v>58.397703144569853</v>
      </c>
    </row>
    <row r="58" spans="1:65" x14ac:dyDescent="0.25">
      <c r="A58" t="s">
        <v>180</v>
      </c>
      <c r="B58" s="3">
        <f>RCOMP</f>
        <v>220000</v>
      </c>
      <c r="C58" s="2" t="s">
        <v>36</v>
      </c>
      <c r="E58" t="s">
        <v>186</v>
      </c>
      <c r="N58" s="9">
        <v>40</v>
      </c>
      <c r="O58" s="34">
        <f t="shared" si="62"/>
        <v>25.118864315095799</v>
      </c>
      <c r="P58" s="33" t="str">
        <f t="shared" si="50"/>
        <v>54,631621870174</v>
      </c>
      <c r="Q58" s="4" t="str">
        <f t="shared" si="63"/>
        <v>1+0,704521645411359i</v>
      </c>
      <c r="R58" s="4">
        <f t="shared" si="64"/>
        <v>1.2232541636361303</v>
      </c>
      <c r="S58" s="4">
        <f t="shared" si="65"/>
        <v>0.61375418372891399</v>
      </c>
      <c r="T58" s="4" t="str">
        <f t="shared" si="51"/>
        <v>1+0,00238633636546844i</v>
      </c>
      <c r="U58" s="4">
        <f t="shared" si="66"/>
        <v>1.000002847296571</v>
      </c>
      <c r="V58" s="4">
        <f t="shared" si="67"/>
        <v>2.3863318357392345E-3</v>
      </c>
      <c r="W58" t="str">
        <f t="shared" si="52"/>
        <v>1-0,000628045039121218i</v>
      </c>
      <c r="X58" s="4">
        <f t="shared" si="68"/>
        <v>1.0000001972202661</v>
      </c>
      <c r="Y58" s="4">
        <f t="shared" si="69"/>
        <v>-6.2804495654575625E-4</v>
      </c>
      <c r="Z58" t="str">
        <f t="shared" si="53"/>
        <v>0,999999997476171+0,0000862883087202094i</v>
      </c>
      <c r="AA58" s="4">
        <f t="shared" si="70"/>
        <v>1.0000000011990069</v>
      </c>
      <c r="AB58" s="4">
        <f t="shared" si="71"/>
        <v>8.6288308723828184E-5</v>
      </c>
      <c r="AC58" s="47" t="str">
        <f t="shared" si="72"/>
        <v>36,5529711508949-25,6610151508042i</v>
      </c>
      <c r="AD58" s="20">
        <f t="shared" si="73"/>
        <v>32.99857425620695</v>
      </c>
      <c r="AE58" s="43">
        <f t="shared" si="74"/>
        <v>-35.069725924723855</v>
      </c>
      <c r="AF58" t="str">
        <f t="shared" si="54"/>
        <v>171,265703090588</v>
      </c>
      <c r="AG58" t="str">
        <f t="shared" si="55"/>
        <v>1+0,697779360980434i</v>
      </c>
      <c r="AH58">
        <f t="shared" si="75"/>
        <v>1.2193834657769733</v>
      </c>
      <c r="AI58">
        <f t="shared" si="76"/>
        <v>0.60923404728953401</v>
      </c>
      <c r="AJ58" t="str">
        <f t="shared" si="56"/>
        <v>1+0,00238633636546844i</v>
      </c>
      <c r="AK58">
        <f t="shared" si="77"/>
        <v>1.000002847296571</v>
      </c>
      <c r="AL58">
        <f t="shared" si="78"/>
        <v>2.3863318357392345E-3</v>
      </c>
      <c r="AM58" t="str">
        <f t="shared" si="57"/>
        <v>1-0,000198421123841008i</v>
      </c>
      <c r="AN58">
        <f t="shared" si="79"/>
        <v>1.000000019685471</v>
      </c>
      <c r="AO58">
        <f t="shared" si="80"/>
        <v>-1.984211212369992E-4</v>
      </c>
      <c r="AP58" s="41" t="str">
        <f t="shared" si="81"/>
        <v>115,359277477778-80,1206080794488i</v>
      </c>
      <c r="AQ58">
        <f t="shared" si="82"/>
        <v>42.950626899756784</v>
      </c>
      <c r="AR58" s="43">
        <f t="shared" si="83"/>
        <v>-34.781181595471558</v>
      </c>
      <c r="AS58" t="str">
        <f t="shared" si="58"/>
        <v>-0,0000166666666666667</v>
      </c>
      <c r="AT58" t="str">
        <f t="shared" si="59"/>
        <v>2,41947992609994E-07i</v>
      </c>
      <c r="AU58">
        <f t="shared" si="84"/>
        <v>2.4194799260999399E-7</v>
      </c>
      <c r="AV58">
        <f t="shared" si="85"/>
        <v>1.5707963267948966</v>
      </c>
      <c r="AW58" t="str">
        <f t="shared" si="60"/>
        <v>1+0,00112115483265648i</v>
      </c>
      <c r="AX58">
        <f t="shared" si="86"/>
        <v>1.000000628493882</v>
      </c>
      <c r="AY58">
        <f t="shared" si="87"/>
        <v>1.1211543628973847E-3</v>
      </c>
      <c r="AZ58" t="str">
        <f t="shared" si="61"/>
        <v>1+0,0520827381352238i</v>
      </c>
      <c r="BA58">
        <f t="shared" si="88"/>
        <v>1.0013553872685073</v>
      </c>
      <c r="BB58">
        <f t="shared" si="89"/>
        <v>5.2035721221298542E-2</v>
      </c>
      <c r="BC58" s="41" t="str">
        <f t="shared" si="90"/>
        <v>-3,51050093416069+68,8892631405031i</v>
      </c>
      <c r="BD58">
        <f t="shared" si="91"/>
        <v>36.774293842169634</v>
      </c>
      <c r="BE58" s="43">
        <f t="shared" si="92"/>
        <v>92.917189796723051</v>
      </c>
      <c r="BF58" s="41" t="str">
        <f t="shared" si="93"/>
        <v>1639,44918580462+2608,19026583963i</v>
      </c>
      <c r="BG58" s="20">
        <f t="shared" si="94"/>
        <v>69.772868098376591</v>
      </c>
      <c r="BH58" s="43">
        <f t="shared" si="95"/>
        <v>57.847463871999267</v>
      </c>
      <c r="BI58" s="41" t="str">
        <f t="shared" si="101"/>
        <v>5114,48080161243+8228,27909137339i</v>
      </c>
      <c r="BJ58" s="20">
        <f t="shared" si="97"/>
        <v>79.724920741926425</v>
      </c>
      <c r="BK58" s="43">
        <f t="shared" si="102"/>
        <v>58.136008201251471</v>
      </c>
      <c r="BL58">
        <f t="shared" si="99"/>
        <v>69.772868098376591</v>
      </c>
      <c r="BM58" s="43">
        <f t="shared" si="100"/>
        <v>57.847463871999267</v>
      </c>
    </row>
    <row r="59" spans="1:65" x14ac:dyDescent="0.25">
      <c r="A59" t="s">
        <v>184</v>
      </c>
      <c r="B59" s="3">
        <f>CCOMP</f>
        <v>1.5000000000000002E-9</v>
      </c>
      <c r="C59" s="2" t="s">
        <v>162</v>
      </c>
      <c r="E59" t="s">
        <v>187</v>
      </c>
      <c r="N59" s="9">
        <v>41</v>
      </c>
      <c r="O59" s="34">
        <f t="shared" si="62"/>
        <v>25.703957827688647</v>
      </c>
      <c r="P59" s="33" t="str">
        <f t="shared" si="50"/>
        <v>54,631621870174</v>
      </c>
      <c r="Q59" s="4" t="str">
        <f t="shared" si="63"/>
        <v>1+0,720932062659548i</v>
      </c>
      <c r="R59" s="4">
        <f t="shared" si="64"/>
        <v>1.2327785847306687</v>
      </c>
      <c r="S59" s="4">
        <f t="shared" si="65"/>
        <v>0.62463662699032052</v>
      </c>
      <c r="T59" s="4" t="str">
        <f t="shared" si="51"/>
        <v>1+0,00244192128000857i</v>
      </c>
      <c r="U59" s="4">
        <f t="shared" si="66"/>
        <v>1.0000029814853242</v>
      </c>
      <c r="V59" s="4">
        <f t="shared" si="67"/>
        <v>2.4419164263170599E-3</v>
      </c>
      <c r="W59" t="str">
        <f t="shared" si="52"/>
        <v>1-0,000642674087369433i</v>
      </c>
      <c r="X59" s="4">
        <f t="shared" si="68"/>
        <v>1.00000020651497</v>
      </c>
      <c r="Y59" s="4">
        <f t="shared" si="69"/>
        <v>-6.4267399888823251E-4</v>
      </c>
      <c r="Z59" t="str">
        <f t="shared" si="53"/>
        <v>0,999999997357226+0,0000882982216291483i</v>
      </c>
      <c r="AA59" s="4">
        <f t="shared" si="70"/>
        <v>1.0000000012555139</v>
      </c>
      <c r="AB59" s="4">
        <f t="shared" si="71"/>
        <v>8.8298221633025952E-5</v>
      </c>
      <c r="AC59" s="47" t="str">
        <f t="shared" si="72"/>
        <v>35,9923365320598-25,854557506836i</v>
      </c>
      <c r="AD59" s="20">
        <f t="shared" si="73"/>
        <v>32.931207926982381</v>
      </c>
      <c r="AE59" s="43">
        <f t="shared" si="74"/>
        <v>-35.691012573858416</v>
      </c>
      <c r="AF59" t="str">
        <f t="shared" si="54"/>
        <v>171,265703090588</v>
      </c>
      <c r="AG59" t="str">
        <f t="shared" si="55"/>
        <v>1+0,714032730249419i</v>
      </c>
      <c r="AH59">
        <f t="shared" si="75"/>
        <v>1.2287565828378864</v>
      </c>
      <c r="AI59">
        <f t="shared" si="76"/>
        <v>0.62008194948140793</v>
      </c>
      <c r="AJ59" t="str">
        <f t="shared" si="56"/>
        <v>1+0,00244192128000857i</v>
      </c>
      <c r="AK59">
        <f t="shared" si="77"/>
        <v>1.0000029814853242</v>
      </c>
      <c r="AL59">
        <f t="shared" si="78"/>
        <v>2.4419164263170599E-3</v>
      </c>
      <c r="AM59" t="str">
        <f t="shared" si="57"/>
        <v>1-0,000203042945546975i</v>
      </c>
      <c r="AN59">
        <f t="shared" si="79"/>
        <v>1.0000000206132187</v>
      </c>
      <c r="AO59">
        <f t="shared" si="80"/>
        <v>-2.030429427567293E-4</v>
      </c>
      <c r="AP59" s="41" t="str">
        <f t="shared" si="81"/>
        <v>113,614202579397-80,7408161907914i</v>
      </c>
      <c r="AQ59">
        <f t="shared" si="82"/>
        <v>42.884116961618687</v>
      </c>
      <c r="AR59" s="43">
        <f t="shared" si="83"/>
        <v>-35.399800656057188</v>
      </c>
      <c r="AS59" t="str">
        <f t="shared" si="58"/>
        <v>-0,0000166666666666667</v>
      </c>
      <c r="AT59" t="str">
        <f t="shared" si="59"/>
        <v>2,47583685334202E-07i</v>
      </c>
      <c r="AU59">
        <f t="shared" si="84"/>
        <v>2.4758368533420201E-7</v>
      </c>
      <c r="AV59">
        <f t="shared" si="85"/>
        <v>1.5707963267948966</v>
      </c>
      <c r="AW59" t="str">
        <f t="shared" si="60"/>
        <v>1+0,00114726988351908i</v>
      </c>
      <c r="AX59">
        <f t="shared" si="86"/>
        <v>1.0000006581138763</v>
      </c>
      <c r="AY59">
        <f t="shared" si="87"/>
        <v>1.1472693801631584E-3</v>
      </c>
      <c r="AZ59" t="str">
        <f t="shared" si="61"/>
        <v>1+0,053295900952568i</v>
      </c>
      <c r="BA59">
        <f t="shared" si="88"/>
        <v>1.0014192194372673</v>
      </c>
      <c r="BB59">
        <f t="shared" si="89"/>
        <v>5.3245525276963995E-2</v>
      </c>
      <c r="BC59" s="41" t="str">
        <f t="shared" si="90"/>
        <v>-3,51050072619879+67,32133333188i</v>
      </c>
      <c r="BD59">
        <f t="shared" si="91"/>
        <v>36.574847255957494</v>
      </c>
      <c r="BE59" s="43">
        <f t="shared" si="92"/>
        <v>92.985010182879236</v>
      </c>
      <c r="BF59" s="41" t="str">
        <f t="shared" si="93"/>
        <v>1614,21216053258+2513,8145279713i</v>
      </c>
      <c r="BG59" s="20">
        <f t="shared" si="94"/>
        <v>69.506055182939875</v>
      </c>
      <c r="BH59" s="43">
        <f t="shared" si="95"/>
        <v>57.293997609020863</v>
      </c>
      <c r="BI59" s="41" t="str">
        <f t="shared" si="101"/>
        <v>5036,73665960685+7932,10029695498i</v>
      </c>
      <c r="BJ59" s="20">
        <f t="shared" si="97"/>
        <v>79.458964217576181</v>
      </c>
      <c r="BK59" s="43">
        <f t="shared" si="102"/>
        <v>57.585209526822069</v>
      </c>
      <c r="BL59">
        <f t="shared" si="99"/>
        <v>69.506055182939875</v>
      </c>
      <c r="BM59" s="43">
        <f t="shared" si="100"/>
        <v>57.293997609020863</v>
      </c>
    </row>
    <row r="60" spans="1:65" x14ac:dyDescent="0.25">
      <c r="A60" t="s">
        <v>185</v>
      </c>
      <c r="B60" s="3">
        <f>CHF</f>
        <v>3.3000000000000002E-11</v>
      </c>
      <c r="C60" s="2" t="s">
        <v>162</v>
      </c>
      <c r="E60" t="s">
        <v>188</v>
      </c>
      <c r="N60" s="9">
        <v>42</v>
      </c>
      <c r="O60" s="34">
        <f t="shared" si="62"/>
        <v>26.302679918953825</v>
      </c>
      <c r="P60" s="33" t="str">
        <f t="shared" si="50"/>
        <v>54,631621870174</v>
      </c>
      <c r="Q60" s="4" t="str">
        <f t="shared" si="63"/>
        <v>1+0,737724727630024i</v>
      </c>
      <c r="R60" s="4">
        <f t="shared" si="64"/>
        <v>1.2426736392781466</v>
      </c>
      <c r="S60" s="4">
        <f t="shared" si="65"/>
        <v>0.63559853502047015</v>
      </c>
      <c r="T60" s="4" t="str">
        <f t="shared" si="51"/>
        <v>1+0,00249880093353402i</v>
      </c>
      <c r="U60" s="4">
        <f t="shared" si="66"/>
        <v>1.0000031219981793</v>
      </c>
      <c r="V60" s="4">
        <f t="shared" si="67"/>
        <v>2.4987957327107426E-3</v>
      </c>
      <c r="W60" t="str">
        <f t="shared" si="52"/>
        <v>1-0,000657643889925569i</v>
      </c>
      <c r="X60" s="4">
        <f t="shared" si="68"/>
        <v>1.0000002162477195</v>
      </c>
      <c r="Y60" s="4">
        <f t="shared" si="69"/>
        <v>-6.5764379511625568E-4</v>
      </c>
      <c r="Z60" t="str">
        <f t="shared" si="53"/>
        <v>0,999999997232676+0,0000903549514239603i</v>
      </c>
      <c r="AA60" s="4">
        <f t="shared" si="70"/>
        <v>1.0000000013146844</v>
      </c>
      <c r="AB60" s="4">
        <f t="shared" si="71"/>
        <v>9.0354951428115257E-5</v>
      </c>
      <c r="AC60" s="47" t="str">
        <f t="shared" si="72"/>
        <v>35,4234847205661-26,0371314679579i</v>
      </c>
      <c r="AD60" s="20">
        <f t="shared" si="73"/>
        <v>32.861769143974556</v>
      </c>
      <c r="AE60" s="43">
        <f t="shared" si="74"/>
        <v>-36.316800243279452</v>
      </c>
      <c r="AF60" t="str">
        <f t="shared" si="54"/>
        <v>171,265703090588</v>
      </c>
      <c r="AG60" t="str">
        <f t="shared" si="55"/>
        <v>1+0,730664689123324i</v>
      </c>
      <c r="AH60">
        <f t="shared" si="75"/>
        <v>1.2384954129635215</v>
      </c>
      <c r="AI60">
        <f t="shared" si="76"/>
        <v>0.63101123542490811</v>
      </c>
      <c r="AJ60" t="str">
        <f t="shared" si="56"/>
        <v>1+0,00249880093353402i</v>
      </c>
      <c r="AK60">
        <f t="shared" si="77"/>
        <v>1.0000031219981793</v>
      </c>
      <c r="AL60">
        <f t="shared" si="78"/>
        <v>2.4987957327107426E-3</v>
      </c>
      <c r="AM60" t="str">
        <f t="shared" si="57"/>
        <v>1-0,000207772423310262i</v>
      </c>
      <c r="AN60">
        <f t="shared" si="79"/>
        <v>1.0000000215846896</v>
      </c>
      <c r="AO60">
        <f t="shared" si="80"/>
        <v>-2.0777242032045986E-4</v>
      </c>
      <c r="AP60" s="41" t="str">
        <f t="shared" si="81"/>
        <v>111,842846506714-81,3272440648918i</v>
      </c>
      <c r="AQ60">
        <f t="shared" si="82"/>
        <v>42.815547292100462</v>
      </c>
      <c r="AR60" s="43">
        <f t="shared" si="83"/>
        <v>-36.023014648617178</v>
      </c>
      <c r="AS60" t="str">
        <f t="shared" si="58"/>
        <v>-0,0000166666666666667</v>
      </c>
      <c r="AT60" t="str">
        <f t="shared" si="59"/>
        <v>2,53350650205533E-07i</v>
      </c>
      <c r="AU60">
        <f t="shared" si="84"/>
        <v>2.5335065020553303E-7</v>
      </c>
      <c r="AV60">
        <f t="shared" si="85"/>
        <v>1.5707963267948966</v>
      </c>
      <c r="AW60" t="str">
        <f t="shared" si="60"/>
        <v>1+0,00117399323205983i</v>
      </c>
      <c r="AX60">
        <f t="shared" si="86"/>
        <v>1.000000689129817</v>
      </c>
      <c r="AY60">
        <f t="shared" si="87"/>
        <v>1.1739926927042627E-3</v>
      </c>
      <c r="AZ60" t="str">
        <f t="shared" si="61"/>
        <v>1+0,0545373219620519i</v>
      </c>
      <c r="BA60">
        <f t="shared" si="88"/>
        <v>1.0014860555628284</v>
      </c>
      <c r="BB60">
        <f t="shared" si="89"/>
        <v>5.448334777808353E-2</v>
      </c>
      <c r="BC60" s="41" t="str">
        <f t="shared" si="90"/>
        <v>-3,51050050843596+65,7890981852698i</v>
      </c>
      <c r="BD60">
        <f t="shared" si="91"/>
        <v>36.375426675689106</v>
      </c>
      <c r="BE60" s="43">
        <f t="shared" si="92"/>
        <v>93.0544010549565</v>
      </c>
      <c r="BF60" s="41" t="str">
        <f t="shared" si="93"/>
        <v>1588,60523748614+2421,88247760221i</v>
      </c>
      <c r="BG60" s="20">
        <f t="shared" si="94"/>
        <v>69.237195819663668</v>
      </c>
      <c r="BH60" s="43">
        <f t="shared" si="95"/>
        <v>56.737600811677076</v>
      </c>
      <c r="BI60" s="41" t="str">
        <f t="shared" si="101"/>
        <v>4957,82167539582+7643,53934178976i</v>
      </c>
      <c r="BJ60" s="20">
        <f t="shared" si="97"/>
        <v>79.19097396778956</v>
      </c>
      <c r="BK60" s="43">
        <f t="shared" si="102"/>
        <v>57.031386406339323</v>
      </c>
      <c r="BL60">
        <f t="shared" si="99"/>
        <v>69.237195819663668</v>
      </c>
      <c r="BM60" s="43">
        <f t="shared" si="100"/>
        <v>56.737600811677076</v>
      </c>
    </row>
    <row r="61" spans="1:65" x14ac:dyDescent="0.25">
      <c r="N61" s="9">
        <v>43</v>
      </c>
      <c r="O61" s="34">
        <f t="shared" si="62"/>
        <v>26.915348039269158</v>
      </c>
      <c r="P61" s="33" t="str">
        <f t="shared" si="50"/>
        <v>54,631621870174</v>
      </c>
      <c r="Q61" s="4" t="str">
        <f t="shared" si="63"/>
        <v>1+0,754908544016033i</v>
      </c>
      <c r="R61" s="4">
        <f t="shared" si="64"/>
        <v>1.2529512799101195</v>
      </c>
      <c r="S61" s="4">
        <f t="shared" si="65"/>
        <v>0.64663518248337892</v>
      </c>
      <c r="T61" s="4" t="str">
        <f t="shared" si="51"/>
        <v>1+0,00255700548438997i</v>
      </c>
      <c r="U61" s="4">
        <f t="shared" si="66"/>
        <v>1.0000032691331799</v>
      </c>
      <c r="V61" s="4">
        <f t="shared" si="67"/>
        <v>2.5569999116084093E-3</v>
      </c>
      <c r="W61" t="str">
        <f t="shared" si="52"/>
        <v>1-0,000672962383977092i</v>
      </c>
      <c r="X61" s="4">
        <f t="shared" si="68"/>
        <v>1.0000002264391594</v>
      </c>
      <c r="Y61" s="4">
        <f t="shared" si="69"/>
        <v>-6.729622823870837E-4</v>
      </c>
      <c r="Z61" t="str">
        <f t="shared" si="53"/>
        <v>0,999999997102256+0,0000924595886100067i</v>
      </c>
      <c r="AA61" s="4">
        <f t="shared" si="70"/>
        <v>1.0000000013766437</v>
      </c>
      <c r="AB61" s="4">
        <f t="shared" si="71"/>
        <v>9.2459588614458827E-5</v>
      </c>
      <c r="AC61" s="47" t="str">
        <f t="shared" si="72"/>
        <v>34,8468497991136-26,2083075416883i</v>
      </c>
      <c r="AD61" s="20">
        <f t="shared" si="73"/>
        <v>32.790228543636736</v>
      </c>
      <c r="AE61" s="43">
        <f t="shared" si="74"/>
        <v>-36.946816980574333</v>
      </c>
      <c r="AF61" t="str">
        <f t="shared" si="54"/>
        <v>171,265703090588</v>
      </c>
      <c r="AG61" t="str">
        <f t="shared" si="55"/>
        <v>1+0,747684056086894i</v>
      </c>
      <c r="AH61">
        <f t="shared" si="75"/>
        <v>1.2486118082600972</v>
      </c>
      <c r="AI61">
        <f t="shared" si="76"/>
        <v>0.64201725624749451</v>
      </c>
      <c r="AJ61" t="str">
        <f t="shared" si="56"/>
        <v>1+0,00255700548438997i</v>
      </c>
      <c r="AK61">
        <f t="shared" si="77"/>
        <v>1.0000032691331799</v>
      </c>
      <c r="AL61">
        <f t="shared" si="78"/>
        <v>2.5569999116084093E-3</v>
      </c>
      <c r="AM61" t="str">
        <f t="shared" si="57"/>
        <v>1-0,000212612064762582i</v>
      </c>
      <c r="AN61">
        <f t="shared" si="79"/>
        <v>1.0000000226019448</v>
      </c>
      <c r="AO61">
        <f t="shared" si="80"/>
        <v>-2.1261206155895129E-4</v>
      </c>
      <c r="AP61" s="41" t="str">
        <f t="shared" si="81"/>
        <v>110,046530623594-81,878522187606i</v>
      </c>
      <c r="AQ61">
        <f t="shared" si="82"/>
        <v>42.744887871636656</v>
      </c>
      <c r="AR61" s="43">
        <f t="shared" si="83"/>
        <v>-36.650555628200962</v>
      </c>
      <c r="AS61" t="str">
        <f t="shared" si="58"/>
        <v>-0,0000166666666666667</v>
      </c>
      <c r="AT61" t="str">
        <f t="shared" si="59"/>
        <v>2,59251944945094E-07i</v>
      </c>
      <c r="AU61">
        <f t="shared" si="84"/>
        <v>2.5925194494509401E-7</v>
      </c>
      <c r="AV61">
        <f t="shared" si="85"/>
        <v>1.5707963267948966</v>
      </c>
      <c r="AW61" t="str">
        <f t="shared" si="60"/>
        <v>1+0,00120133904735186i</v>
      </c>
      <c r="AX61">
        <f t="shared" si="86"/>
        <v>1.0000007216074929</v>
      </c>
      <c r="AY61">
        <f t="shared" si="87"/>
        <v>1.2013384694219797E-3</v>
      </c>
      <c r="AZ61" t="str">
        <f t="shared" si="61"/>
        <v>1+0,0558076593815271i</v>
      </c>
      <c r="BA61">
        <f t="shared" si="88"/>
        <v>1.0015560367975647</v>
      </c>
      <c r="BB61">
        <f t="shared" si="89"/>
        <v>5.574982985315341E-2</v>
      </c>
      <c r="BC61" s="41" t="str">
        <f t="shared" si="90"/>
        <v>-3,51050028041034+64,2917452893155i</v>
      </c>
      <c r="BD61">
        <f t="shared" si="91"/>
        <v>36.176033319711081</v>
      </c>
      <c r="BE61" s="43">
        <f t="shared" si="92"/>
        <v>93.125398335093521</v>
      </c>
      <c r="BF61" s="41" t="str">
        <f t="shared" si="93"/>
        <v>1562,64795694307+2332,36906239382i</v>
      </c>
      <c r="BG61" s="20">
        <f t="shared" si="94"/>
        <v>68.96626186334781</v>
      </c>
      <c r="BH61" s="43">
        <f t="shared" si="95"/>
        <v>56.178581354519082</v>
      </c>
      <c r="BI61" s="41" t="str">
        <f t="shared" si="101"/>
        <v>4877,79471653882+7362,51809192414i</v>
      </c>
      <c r="BJ61" s="20">
        <f t="shared" si="97"/>
        <v>78.920921191347745</v>
      </c>
      <c r="BK61" s="43">
        <f t="shared" si="102"/>
        <v>56.474842706892588</v>
      </c>
      <c r="BL61">
        <f t="shared" si="99"/>
        <v>68.96626186334781</v>
      </c>
      <c r="BM61" s="43">
        <f t="shared" si="100"/>
        <v>56.178581354519082</v>
      </c>
    </row>
    <row r="62" spans="1:65" x14ac:dyDescent="0.25">
      <c r="A62" t="s">
        <v>227</v>
      </c>
      <c r="B62" s="1">
        <f>(-gm_ea)/Kfb</f>
        <v>-1.6666666666666667E-5</v>
      </c>
      <c r="C62" t="s">
        <v>150</v>
      </c>
      <c r="N62" s="9">
        <v>44</v>
      </c>
      <c r="O62" s="34">
        <f t="shared" si="62"/>
        <v>27.542287033381665</v>
      </c>
      <c r="P62" s="33" t="str">
        <f t="shared" si="50"/>
        <v>54,631621870174</v>
      </c>
      <c r="Q62" s="4" t="str">
        <f t="shared" si="63"/>
        <v>1+0,772492622904475i</v>
      </c>
      <c r="R62" s="4">
        <f t="shared" si="64"/>
        <v>1.2636236989079603</v>
      </c>
      <c r="S62" s="4">
        <f t="shared" si="65"/>
        <v>0.65774166674936185</v>
      </c>
      <c r="T62" s="4" t="str">
        <f t="shared" si="51"/>
        <v>1+0,00261656579339972i</v>
      </c>
      <c r="U62" s="4">
        <f t="shared" si="66"/>
        <v>1.0000034232024164</v>
      </c>
      <c r="V62" s="4">
        <f t="shared" si="67"/>
        <v>2.6165598220577978E-3</v>
      </c>
      <c r="W62" t="str">
        <f t="shared" si="52"/>
        <v>1-0,000688637691592309i</v>
      </c>
      <c r="X62" s="4">
        <f t="shared" si="68"/>
        <v>1.0000002371109069</v>
      </c>
      <c r="Y62" s="4">
        <f t="shared" si="69"/>
        <v>-6.8863758273665534E-4</v>
      </c>
      <c r="Z62" t="str">
        <f t="shared" si="53"/>
        <v>0,99999999696569+0,0000946132490937814i</v>
      </c>
      <c r="AA62" s="4">
        <f t="shared" si="70"/>
        <v>1.0000000014415233</v>
      </c>
      <c r="AB62" s="4">
        <f t="shared" si="71"/>
        <v>9.4613249098551909E-5</v>
      </c>
      <c r="AC62" s="47" t="str">
        <f t="shared" si="72"/>
        <v>34,262894522761-26,3676763043066i</v>
      </c>
      <c r="AD62" s="20">
        <f t="shared" si="73"/>
        <v>32.716558408390462</v>
      </c>
      <c r="AE62" s="43">
        <f t="shared" si="74"/>
        <v>-37.580780646955603</v>
      </c>
      <c r="AF62" t="str">
        <f t="shared" si="54"/>
        <v>171,265703090588</v>
      </c>
      <c r="AG62" t="str">
        <f t="shared" si="55"/>
        <v>1+0,765099855033771i</v>
      </c>
      <c r="AH62">
        <f t="shared" si="75"/>
        <v>1.2591178611125717</v>
      </c>
      <c r="AI62">
        <f t="shared" si="76"/>
        <v>0.65309518232690167</v>
      </c>
      <c r="AJ62" t="str">
        <f t="shared" si="56"/>
        <v>1+0,00261656579339972i</v>
      </c>
      <c r="AK62">
        <f t="shared" si="77"/>
        <v>1.0000034232024164</v>
      </c>
      <c r="AL62">
        <f t="shared" si="78"/>
        <v>2.6165598220577978E-3</v>
      </c>
      <c r="AM62" t="str">
        <f t="shared" si="57"/>
        <v>1-0,000217564435945892i</v>
      </c>
      <c r="AN62">
        <f t="shared" si="79"/>
        <v>1.0000000236671416</v>
      </c>
      <c r="AO62">
        <f t="shared" si="80"/>
        <v>-2.1756443251313984E-4</v>
      </c>
      <c r="AP62" s="41" t="str">
        <f t="shared" si="81"/>
        <v>108,226667413215-82,3933408944395i</v>
      </c>
      <c r="AQ62">
        <f t="shared" si="82"/>
        <v>42.672110282358389</v>
      </c>
      <c r="AR62" s="43">
        <f t="shared" si="83"/>
        <v>-37.28214525676627</v>
      </c>
      <c r="AS62" t="str">
        <f t="shared" si="58"/>
        <v>-0,0000166666666666667</v>
      </c>
      <c r="AT62" t="str">
        <f t="shared" si="59"/>
        <v>2,65290698497471E-07i</v>
      </c>
      <c r="AU62">
        <f t="shared" si="84"/>
        <v>2.6529069849747098E-7</v>
      </c>
      <c r="AV62">
        <f t="shared" si="85"/>
        <v>1.5707963267948966</v>
      </c>
      <c r="AW62" t="str">
        <f t="shared" si="60"/>
        <v>1+0,00122932182850839i</v>
      </c>
      <c r="AX62">
        <f t="shared" si="86"/>
        <v>1.0000007556157935</v>
      </c>
      <c r="AY62">
        <f t="shared" si="87"/>
        <v>1.2293212092453914E-3</v>
      </c>
      <c r="AZ62" t="str">
        <f t="shared" si="61"/>
        <v>1+0,0571075867607081i</v>
      </c>
      <c r="BA62">
        <f t="shared" si="88"/>
        <v>1.0016293109058021</v>
      </c>
      <c r="BB62">
        <f t="shared" si="89"/>
        <v>5.7045626747264183E-2</v>
      </c>
      <c r="BC62" s="41" t="str">
        <f t="shared" si="90"/>
        <v>-3,51050004163824+62,8284807276891i</v>
      </c>
      <c r="BD62">
        <f t="shared" si="91"/>
        <v>35.976668463089972</v>
      </c>
      <c r="BE62" s="43">
        <f t="shared" si="92"/>
        <v>93.198038735341157</v>
      </c>
      <c r="BF62" s="41" t="str">
        <f t="shared" si="93"/>
        <v>1536,36114987027+2245,24933696231i</v>
      </c>
      <c r="BG62" s="20">
        <f t="shared" si="94"/>
        <v>68.693226871480434</v>
      </c>
      <c r="BH62" s="43">
        <f t="shared" si="95"/>
        <v>55.617258088385647</v>
      </c>
      <c r="BI62" s="41" t="str">
        <f t="shared" si="101"/>
        <v>4796,71871001575+7088,95891443384i</v>
      </c>
      <c r="BJ62" s="20">
        <f t="shared" si="97"/>
        <v>78.648778745448354</v>
      </c>
      <c r="BK62" s="43">
        <f t="shared" si="102"/>
        <v>55.915893478574908</v>
      </c>
      <c r="BL62">
        <f t="shared" si="99"/>
        <v>68.693226871480434</v>
      </c>
      <c r="BM62" s="43">
        <f t="shared" si="100"/>
        <v>55.617258088385647</v>
      </c>
    </row>
    <row r="63" spans="1:65" x14ac:dyDescent="0.25">
      <c r="A63" t="s">
        <v>226</v>
      </c>
      <c r="B63" s="1">
        <f>1/(RCOMP*CCOMP)</f>
        <v>3030.30303030303</v>
      </c>
      <c r="E63" t="s">
        <v>240</v>
      </c>
      <c r="N63" s="9">
        <v>45</v>
      </c>
      <c r="O63" s="34">
        <f t="shared" si="62"/>
        <v>28.183829312644548</v>
      </c>
      <c r="P63" s="33" t="str">
        <f t="shared" si="50"/>
        <v>54,631621870174</v>
      </c>
      <c r="Q63" s="4" t="str">
        <f t="shared" si="63"/>
        <v>1+0,790486287606729i</v>
      </c>
      <c r="R63" s="4">
        <f t="shared" si="64"/>
        <v>1.2747033266192838</v>
      </c>
      <c r="S63" s="4">
        <f t="shared" si="65"/>
        <v>0.66891291685471077</v>
      </c>
      <c r="T63" s="4" t="str">
        <f t="shared" si="51"/>
        <v>1+0,00267751344022746i</v>
      </c>
      <c r="U63" s="4">
        <f t="shared" si="66"/>
        <v>1.0000035845326869</v>
      </c>
      <c r="V63" s="4">
        <f t="shared" si="67"/>
        <v>2.6775070418205505E-3</v>
      </c>
      <c r="W63" t="str">
        <f t="shared" si="52"/>
        <v>1-0,000704678124026805i</v>
      </c>
      <c r="X63" s="4">
        <f t="shared" si="68"/>
        <v>1.0000002482855985</v>
      </c>
      <c r="Y63" s="4">
        <f t="shared" si="69"/>
        <v>-7.0467800738587211E-4</v>
      </c>
      <c r="Z63" t="str">
        <f t="shared" si="53"/>
        <v>0,999999996822687+0,00009681707477458i</v>
      </c>
      <c r="AA63" s="4">
        <f t="shared" si="70"/>
        <v>1.0000000015094599</v>
      </c>
      <c r="AB63" s="4">
        <f t="shared" si="71"/>
        <v>9.6817074779691721E-5</v>
      </c>
      <c r="AC63" s="47" t="str">
        <f t="shared" si="72"/>
        <v>33,6721091736554-26,5148506680158i</v>
      </c>
      <c r="AD63" s="20">
        <f t="shared" si="73"/>
        <v>32.640732769811088</v>
      </c>
      <c r="AE63" s="43">
        <f t="shared" si="74"/>
        <v>-38.218399429955994</v>
      </c>
      <c r="AF63" t="str">
        <f t="shared" si="54"/>
        <v>171,265703090588</v>
      </c>
      <c r="AG63" t="str">
        <f t="shared" si="55"/>
        <v>1+0,782921320051079i</v>
      </c>
      <c r="AH63">
        <f t="shared" si="75"/>
        <v>1.2700259026455027</v>
      </c>
      <c r="AI63">
        <f t="shared" si="76"/>
        <v>0.66424001184866421</v>
      </c>
      <c r="AJ63" t="str">
        <f t="shared" si="56"/>
        <v>1+0,00267751344022746i</v>
      </c>
      <c r="AK63">
        <f t="shared" si="77"/>
        <v>1.0000035845326869</v>
      </c>
      <c r="AL63">
        <f t="shared" si="78"/>
        <v>2.6775070418205505E-3</v>
      </c>
      <c r="AM63" t="str">
        <f t="shared" si="57"/>
        <v>1-0,000222632162672946i</v>
      </c>
      <c r="AN63">
        <f t="shared" si="79"/>
        <v>1.0000000247825396</v>
      </c>
      <c r="AO63">
        <f t="shared" si="80"/>
        <v>-2.226321589946858E-4</v>
      </c>
      <c r="AP63" s="41" t="str">
        <f t="shared" si="81"/>
        <v>106,384757166775-82,870457546321i</v>
      </c>
      <c r="AQ63">
        <f t="shared" si="82"/>
        <v>42.597187812966467</v>
      </c>
      <c r="AR63" s="43">
        <f t="shared" si="83"/>
        <v>-37.917495292629773</v>
      </c>
      <c r="AS63" t="str">
        <f t="shared" si="58"/>
        <v>-0,0000166666666666667</v>
      </c>
      <c r="AT63" t="str">
        <f t="shared" si="59"/>
        <v>2,71470112689728E-07i</v>
      </c>
      <c r="AU63">
        <f t="shared" si="84"/>
        <v>2.7147011268972799E-7</v>
      </c>
      <c r="AV63">
        <f t="shared" si="85"/>
        <v>1.5707963267948966</v>
      </c>
      <c r="AW63" t="str">
        <f t="shared" si="60"/>
        <v>1+0,0012579564123704i</v>
      </c>
      <c r="AX63">
        <f t="shared" si="86"/>
        <v>1.0000007912268547</v>
      </c>
      <c r="AY63">
        <f t="shared" si="87"/>
        <v>1.2579557488181705E-3</v>
      </c>
      <c r="AZ63" t="str">
        <f t="shared" si="61"/>
        <v>1+0,0584377933382978i</v>
      </c>
      <c r="BA63">
        <f t="shared" si="88"/>
        <v>1.0017060325715572</v>
      </c>
      <c r="BB63">
        <f t="shared" si="89"/>
        <v>5.8371408093154678E-2</v>
      </c>
      <c r="BC63" s="41" t="str">
        <f t="shared" si="90"/>
        <v>-3,51049979161319+61,3985286581505i</v>
      </c>
      <c r="BD63">
        <f t="shared" si="91"/>
        <v>35.777333440219003</v>
      </c>
      <c r="BE63" s="43">
        <f t="shared" si="92"/>
        <v>93.272359772752026</v>
      </c>
      <c r="BF63" s="41" t="str">
        <f t="shared" si="93"/>
        <v>1509,76688636946+2160,49833782378i</v>
      </c>
      <c r="BG63" s="20">
        <f t="shared" si="94"/>
        <v>68.418066210030105</v>
      </c>
      <c r="BH63" s="43">
        <f t="shared" si="95"/>
        <v>55.053960342795996</v>
      </c>
      <c r="BI63" s="41" t="str">
        <f t="shared" si="101"/>
        <v>4714,66049470705+6822,78428564187i</v>
      </c>
      <c r="BJ63" s="20">
        <f t="shared" si="97"/>
        <v>78.374521253185478</v>
      </c>
      <c r="BK63" s="43">
        <f t="shared" si="102"/>
        <v>55.354864480122302</v>
      </c>
      <c r="BL63">
        <f t="shared" si="99"/>
        <v>68.418066210030105</v>
      </c>
      <c r="BM63" s="43">
        <f t="shared" si="100"/>
        <v>55.053960342795996</v>
      </c>
    </row>
    <row r="64" spans="1:65" x14ac:dyDescent="0.25">
      <c r="A64" t="s">
        <v>231</v>
      </c>
      <c r="B64" s="1">
        <f>(CCOMP+CHF)</f>
        <v>1.5330000000000002E-9</v>
      </c>
      <c r="E64" t="s">
        <v>241</v>
      </c>
      <c r="N64" s="9">
        <v>46</v>
      </c>
      <c r="O64" s="34">
        <f t="shared" si="62"/>
        <v>28.840315031266066</v>
      </c>
      <c r="P64" s="33" t="str">
        <f t="shared" si="50"/>
        <v>54,631621870174</v>
      </c>
      <c r="Q64" s="4" t="str">
        <f t="shared" si="63"/>
        <v>1+0,808899078601994i</v>
      </c>
      <c r="R64" s="4">
        <f t="shared" si="64"/>
        <v>1.2862028297913026</v>
      </c>
      <c r="S64" s="4">
        <f t="shared" si="65"/>
        <v>0.68014370340475039</v>
      </c>
      <c r="T64" s="4" t="str">
        <f t="shared" si="51"/>
        <v>1+0,0027398807401223i</v>
      </c>
      <c r="U64" s="4">
        <f t="shared" si="66"/>
        <v>1.0000037534661907</v>
      </c>
      <c r="V64" s="4">
        <f t="shared" si="67"/>
        <v>2.7398738841071637E-3</v>
      </c>
      <c r="W64" t="str">
        <f t="shared" si="52"/>
        <v>1-0,000721092186130178i</v>
      </c>
      <c r="X64" s="4">
        <f t="shared" si="68"/>
        <v>1.0000002599869366</v>
      </c>
      <c r="Y64" s="4">
        <f t="shared" si="69"/>
        <v>-7.2109206114716838E-4</v>
      </c>
      <c r="Z64" t="str">
        <f t="shared" si="53"/>
        <v>0,999999996672945+0,0000990722341499495i</v>
      </c>
      <c r="AA64" s="4">
        <f t="shared" si="70"/>
        <v>1.0000000015805988</v>
      </c>
      <c r="AB64" s="4">
        <f t="shared" si="71"/>
        <v>9.9072234155426781E-5</v>
      </c>
      <c r="AC64" s="47" t="str">
        <f t="shared" si="72"/>
        <v>33,0750102064532-26,6494680760599i</v>
      </c>
      <c r="AD64" s="20">
        <f t="shared" si="73"/>
        <v>32.562727507225709</v>
      </c>
      <c r="AE64" s="43">
        <f t="shared" si="74"/>
        <v>-38.859372410160582</v>
      </c>
      <c r="AF64" t="str">
        <f t="shared" si="54"/>
        <v>171,265703090588</v>
      </c>
      <c r="AG64" t="str">
        <f t="shared" si="55"/>
        <v>1+0,801157900315466i</v>
      </c>
      <c r="AH64">
        <f t="shared" si="75"/>
        <v>1.2813485010869938</v>
      </c>
      <c r="AI64">
        <f t="shared" si="76"/>
        <v>0.67544658031893368</v>
      </c>
      <c r="AJ64" t="str">
        <f t="shared" si="56"/>
        <v>1+0,0027398807401223i</v>
      </c>
      <c r="AK64">
        <f t="shared" si="77"/>
        <v>1.0000037534661907</v>
      </c>
      <c r="AL64">
        <f t="shared" si="78"/>
        <v>2.7398738841071637E-3</v>
      </c>
      <c r="AM64" t="str">
        <f t="shared" si="57"/>
        <v>1-0,000227817931919535i</v>
      </c>
      <c r="AN64">
        <f t="shared" si="79"/>
        <v>1.0000000259505046</v>
      </c>
      <c r="AO64">
        <f t="shared" si="80"/>
        <v>-2.278179279782082E-4</v>
      </c>
      <c r="AP64" s="41" t="str">
        <f t="shared" si="81"/>
        <v>104,522384012707-83,3087035085323i</v>
      </c>
      <c r="AQ64">
        <f t="shared" si="82"/>
        <v>42.520095559338138</v>
      </c>
      <c r="AR64" s="43">
        <f t="shared" si="83"/>
        <v>-38.556308134632083</v>
      </c>
      <c r="AS64" t="str">
        <f t="shared" si="58"/>
        <v>-0,0000166666666666667</v>
      </c>
      <c r="AT64" t="str">
        <f t="shared" si="59"/>
        <v>2,77793463929065E-07i</v>
      </c>
      <c r="AU64">
        <f t="shared" si="84"/>
        <v>2.7779346392906498E-7</v>
      </c>
      <c r="AV64">
        <f t="shared" si="85"/>
        <v>1.5707963267948966</v>
      </c>
      <c r="AW64" t="str">
        <f t="shared" si="60"/>
        <v>1+0,00128725798137327i</v>
      </c>
      <c r="AX64">
        <f t="shared" si="86"/>
        <v>1.0000008285162121</v>
      </c>
      <c r="AY64">
        <f t="shared" si="87"/>
        <v>1.2872572703642778E-3</v>
      </c>
      <c r="AZ64" t="str">
        <f t="shared" si="61"/>
        <v>1+0,0597989844074311i</v>
      </c>
      <c r="BA64">
        <f t="shared" si="88"/>
        <v>1.0017863637204092</v>
      </c>
      <c r="BB64">
        <f t="shared" si="89"/>
        <v>5.9727858184530754E-2</v>
      </c>
      <c r="BC64" s="41" t="str">
        <f t="shared" si="90"/>
        <v>-3,51049952980484+60,0011309011823i</v>
      </c>
      <c r="BD64">
        <f t="shared" si="91"/>
        <v>35.578029647540326</v>
      </c>
      <c r="BE64" s="43">
        <f t="shared" si="92"/>
        <v>93.3483997845901</v>
      </c>
      <c r="BF64" s="41" t="str">
        <f t="shared" si="93"/>
        <v>1482,8884147005+2078,0909621059i</v>
      </c>
      <c r="BG64" s="20">
        <f t="shared" si="94"/>
        <v>68.140757154766035</v>
      </c>
      <c r="BH64" s="43">
        <f t="shared" si="95"/>
        <v>54.489027374429661</v>
      </c>
      <c r="BI64" s="41" t="str">
        <f t="shared" si="101"/>
        <v>4631,69064449254+6563,91640974543i</v>
      </c>
      <c r="BJ64" s="20">
        <f t="shared" si="97"/>
        <v>78.09812520687845</v>
      </c>
      <c r="BK64" s="43">
        <f t="shared" si="102"/>
        <v>54.792091649958053</v>
      </c>
      <c r="BL64">
        <f t="shared" si="99"/>
        <v>68.140757154766035</v>
      </c>
      <c r="BM64" s="43">
        <f t="shared" si="100"/>
        <v>54.489027374429661</v>
      </c>
    </row>
    <row r="65" spans="1:65" x14ac:dyDescent="0.25">
      <c r="A65" t="s">
        <v>232</v>
      </c>
      <c r="B65" s="1">
        <f>(CCOMP+CHF)/(RCOMP*CHF*CCOMP)</f>
        <v>140771.34986225894</v>
      </c>
      <c r="E65" t="s">
        <v>242</v>
      </c>
      <c r="N65" s="9">
        <v>47</v>
      </c>
      <c r="O65" s="34">
        <f t="shared" si="62"/>
        <v>29.512092266663863</v>
      </c>
      <c r="P65" s="33" t="str">
        <f t="shared" si="50"/>
        <v>54,631621870174</v>
      </c>
      <c r="Q65" s="4" t="str">
        <f t="shared" si="63"/>
        <v>1+0,827740758595779i</v>
      </c>
      <c r="R65" s="4">
        <f t="shared" si="64"/>
        <v>1.2981351098559486</v>
      </c>
      <c r="S65" s="4">
        <f t="shared" si="65"/>
        <v>0.69142864938518822</v>
      </c>
      <c r="T65" s="4" t="str">
        <f t="shared" si="51"/>
        <v>1+0,00280370076105215i</v>
      </c>
      <c r="U65" s="4">
        <f t="shared" si="66"/>
        <v>1.0000039303612549</v>
      </c>
      <c r="V65" s="4">
        <f t="shared" si="67"/>
        <v>2.8036934147011336E-3</v>
      </c>
      <c r="W65" t="str">
        <f t="shared" si="52"/>
        <v>1-0,00073788858085542i</v>
      </c>
      <c r="X65" s="4">
        <f t="shared" si="68"/>
        <v>1.0000002722397419</v>
      </c>
      <c r="Y65" s="4">
        <f t="shared" si="69"/>
        <v>-7.3788844693371434E-4</v>
      </c>
      <c r="Z65" t="str">
        <f t="shared" si="53"/>
        <v>0,999999996516146+0,000101379922935241i</v>
      </c>
      <c r="AA65" s="4">
        <f t="shared" si="70"/>
        <v>1.0000000016550903</v>
      </c>
      <c r="AB65" s="4">
        <f t="shared" si="71"/>
        <v>1.0137992294110999E-4</v>
      </c>
      <c r="AC65" s="47" t="str">
        <f t="shared" si="72"/>
        <v>32,4721386891875-26,7711926037538i</v>
      </c>
      <c r="AD65" s="20">
        <f t="shared" si="73"/>
        <v>32.482520440963533</v>
      </c>
      <c r="AE65" s="43">
        <f t="shared" si="74"/>
        <v>-39.503390179963688</v>
      </c>
      <c r="AF65" t="str">
        <f t="shared" si="54"/>
        <v>171,265703090588</v>
      </c>
      <c r="AG65" t="str">
        <f t="shared" si="55"/>
        <v>1+0,819819265103179i</v>
      </c>
      <c r="AH65">
        <f t="shared" si="75"/>
        <v>1.293098460069579</v>
      </c>
      <c r="AI65">
        <f t="shared" si="76"/>
        <v>0.68670957100136731</v>
      </c>
      <c r="AJ65" t="str">
        <f t="shared" si="56"/>
        <v>1+0,00280370076105215i</v>
      </c>
      <c r="AK65">
        <f t="shared" si="77"/>
        <v>1.0000039303612549</v>
      </c>
      <c r="AL65">
        <f t="shared" si="78"/>
        <v>2.8036934147011336E-3</v>
      </c>
      <c r="AM65" t="str">
        <f t="shared" si="57"/>
        <v>1-0,000233124493249154i</v>
      </c>
      <c r="AN65">
        <f t="shared" si="79"/>
        <v>1.0000000271735143</v>
      </c>
      <c r="AO65">
        <f t="shared" si="80"/>
        <v>-2.3312448902594626E-4</v>
      </c>
      <c r="AP65" s="41" t="str">
        <f t="shared" si="81"/>
        <v>102,641211297912-83,7069908637011i</v>
      </c>
      <c r="AQ65">
        <f t="shared" si="82"/>
        <v>42.440810520101806</v>
      </c>
      <c r="AR65" s="43">
        <f t="shared" si="83"/>
        <v>-39.198277419229029</v>
      </c>
      <c r="AS65" t="str">
        <f t="shared" si="58"/>
        <v>-0,0000166666666666667</v>
      </c>
      <c r="AT65" t="str">
        <f t="shared" si="59"/>
        <v>2,84264104940009E-07i</v>
      </c>
      <c r="AU65">
        <f t="shared" si="84"/>
        <v>2.8426410494000899E-7</v>
      </c>
      <c r="AV65">
        <f t="shared" si="85"/>
        <v>1.5707963267948966</v>
      </c>
      <c r="AW65" t="str">
        <f t="shared" si="60"/>
        <v>1+0,00131724207159674i</v>
      </c>
      <c r="AX65">
        <f t="shared" si="86"/>
        <v>1.0000008675629612</v>
      </c>
      <c r="AY65">
        <f t="shared" si="87"/>
        <v>1.3172413097369145E-3</v>
      </c>
      <c r="AZ65" t="str">
        <f t="shared" si="61"/>
        <v>1+0,0611918816896302i</v>
      </c>
      <c r="BA65">
        <f t="shared" si="88"/>
        <v>1.0018704738561355</v>
      </c>
      <c r="BB65">
        <f t="shared" si="89"/>
        <v>6.1115676251421384E-2</v>
      </c>
      <c r="BC65" s="41" t="str">
        <f t="shared" si="90"/>
        <v>-3,51049925565789+58,6355465379948i</v>
      </c>
      <c r="BD65">
        <f t="shared" si="91"/>
        <v>35.378758546389165</v>
      </c>
      <c r="BE65" s="43">
        <f t="shared" si="92"/>
        <v>93.426197943646144</v>
      </c>
      <c r="BF65" s="41" t="str">
        <f t="shared" si="93"/>
        <v>1455,75009109702+1998,00185100663i</v>
      </c>
      <c r="BG65" s="20">
        <f t="shared" si="94"/>
        <v>67.861278987352719</v>
      </c>
      <c r="BH65" s="43">
        <f t="shared" si="95"/>
        <v>53.922807763682428</v>
      </c>
      <c r="BI65" s="41" t="str">
        <f t="shared" si="101"/>
        <v>4547,88326248291+6312,27685089526i</v>
      </c>
      <c r="BJ65" s="20">
        <f t="shared" si="97"/>
        <v>77.81956906649097</v>
      </c>
      <c r="BK65" s="43">
        <f t="shared" si="102"/>
        <v>54.227920524417108</v>
      </c>
      <c r="BL65">
        <f t="shared" si="99"/>
        <v>67.861278987352719</v>
      </c>
      <c r="BM65" s="43">
        <f t="shared" si="100"/>
        <v>53.922807763682428</v>
      </c>
    </row>
    <row r="66" spans="1:65" x14ac:dyDescent="0.25">
      <c r="N66" s="9">
        <v>48</v>
      </c>
      <c r="O66" s="34">
        <f t="shared" si="62"/>
        <v>30.199517204020164</v>
      </c>
      <c r="P66" s="33" t="str">
        <f t="shared" si="50"/>
        <v>54,631621870174</v>
      </c>
      <c r="Q66" s="4" t="str">
        <f t="shared" si="63"/>
        <v>1+0,847021317696216i</v>
      </c>
      <c r="R66" s="4">
        <f t="shared" si="64"/>
        <v>1.3105133012037056</v>
      </c>
      <c r="S66" s="4">
        <f t="shared" si="65"/>
        <v>0.70276224183738489</v>
      </c>
      <c r="T66" s="4" t="str">
        <f t="shared" si="51"/>
        <v>1+0,00286900734123688i</v>
      </c>
      <c r="U66" s="4">
        <f t="shared" si="66"/>
        <v>1.000004115593093</v>
      </c>
      <c r="V66" s="4">
        <f t="shared" si="67"/>
        <v>2.8689994694816932E-3</v>
      </c>
      <c r="W66" t="str">
        <f t="shared" si="52"/>
        <v>1-0,000755076213873342i</v>
      </c>
      <c r="X66" s="4">
        <f t="shared" si="68"/>
        <v>1.0000002850700038</v>
      </c>
      <c r="Y66" s="4">
        <f t="shared" si="69"/>
        <v>-7.5507607037365128E-4</v>
      </c>
      <c r="Z66" t="str">
        <f t="shared" si="53"/>
        <v>0,999999996351957+0,000103741364697595i</v>
      </c>
      <c r="AA66" s="4">
        <f t="shared" si="70"/>
        <v>1.0000000017330923</v>
      </c>
      <c r="AB66" s="4">
        <f t="shared" si="71"/>
        <v>1.0374136470388373E-4</v>
      </c>
      <c r="AC66" s="47" t="str">
        <f t="shared" si="72"/>
        <v>31,8640585469485-26,8797169436641i</v>
      </c>
      <c r="AD66" s="20">
        <f t="shared" si="73"/>
        <v>32.400091419520813</v>
      </c>
      <c r="AE66" s="43">
        <f t="shared" si="74"/>
        <v>-40.150135511809829</v>
      </c>
      <c r="AF66" t="str">
        <f t="shared" si="54"/>
        <v>171,265703090588</v>
      </c>
      <c r="AG66" t="str">
        <f t="shared" si="55"/>
        <v>1+0,838915308916841i</v>
      </c>
      <c r="AH66">
        <f t="shared" si="75"/>
        <v>1.3052888169041512</v>
      </c>
      <c r="AI66">
        <f t="shared" si="76"/>
        <v>0.69802352623758912</v>
      </c>
      <c r="AJ66" t="str">
        <f t="shared" si="56"/>
        <v>1+0,00286900734123688i</v>
      </c>
      <c r="AK66">
        <f t="shared" si="77"/>
        <v>1.000004115593093</v>
      </c>
      <c r="AL66">
        <f t="shared" si="78"/>
        <v>2.8689994694816932E-3</v>
      </c>
      <c r="AM66" t="str">
        <f t="shared" si="57"/>
        <v>1-0,000238554660270861i</v>
      </c>
      <c r="AN66">
        <f t="shared" si="79"/>
        <v>1.0000000284541626</v>
      </c>
      <c r="AO66">
        <f t="shared" si="80"/>
        <v>-2.3855465574561236E-4</v>
      </c>
      <c r="AP66" s="41" t="str">
        <f t="shared" si="81"/>
        <v>100,742976340668-84,0643187901809i</v>
      </c>
      <c r="AQ66">
        <f t="shared" si="82"/>
        <v>42.359311686431099</v>
      </c>
      <c r="AR66" s="43">
        <f t="shared" si="83"/>
        <v>-39.843088668183846</v>
      </c>
      <c r="AS66" t="str">
        <f t="shared" si="58"/>
        <v>-0,0000166666666666667</v>
      </c>
      <c r="AT66" t="str">
        <f t="shared" si="59"/>
        <v>2,90885466542072E-07i</v>
      </c>
      <c r="AU66">
        <f t="shared" si="84"/>
        <v>2.9088546654207202E-7</v>
      </c>
      <c r="AV66">
        <f t="shared" si="85"/>
        <v>1.5707963267948966</v>
      </c>
      <c r="AW66" t="str">
        <f t="shared" si="60"/>
        <v>1+0,00134792458100232i</v>
      </c>
      <c r="AX66">
        <f t="shared" si="86"/>
        <v>1.0000009084499255</v>
      </c>
      <c r="AY66">
        <f t="shared" si="87"/>
        <v>1.347923764654849E-3</v>
      </c>
      <c r="AZ66" t="str">
        <f t="shared" si="61"/>
        <v>1+0,0626172237174716i</v>
      </c>
      <c r="BA66">
        <f t="shared" si="88"/>
        <v>1.0019585404127678</v>
      </c>
      <c r="BB66">
        <f t="shared" si="89"/>
        <v>6.2535576737323254E-2</v>
      </c>
      <c r="BC66" s="41" t="str">
        <f t="shared" si="90"/>
        <v>-3,51049896859084+57,3010515176811i</v>
      </c>
      <c r="BD66">
        <f t="shared" si="91"/>
        <v>35.179521665964245</v>
      </c>
      <c r="BE66" s="43">
        <f t="shared" si="92"/>
        <v>93.505794273644995</v>
      </c>
      <c r="BF66" s="41" t="str">
        <f t="shared" si="93"/>
        <v>1428,3773007054+1920,20527896785i</v>
      </c>
      <c r="BG66" s="20">
        <f t="shared" si="94"/>
        <v>67.57961308548505</v>
      </c>
      <c r="BH66" s="43">
        <f t="shared" si="95"/>
        <v>53.355658761835208</v>
      </c>
      <c r="BI66" s="41" t="str">
        <f t="shared" si="101"/>
        <v>4463,31574725824+6067,78618174937i</v>
      </c>
      <c r="BJ66" s="20">
        <f t="shared" si="97"/>
        <v>77.538833352395343</v>
      </c>
      <c r="BK66" s="43">
        <f t="shared" si="102"/>
        <v>53.662705605461156</v>
      </c>
      <c r="BL66">
        <f t="shared" si="99"/>
        <v>67.57961308548505</v>
      </c>
      <c r="BM66" s="43">
        <f t="shared" si="100"/>
        <v>53.355658761835208</v>
      </c>
    </row>
    <row r="67" spans="1:65" x14ac:dyDescent="0.25">
      <c r="N67" s="9">
        <v>49</v>
      </c>
      <c r="O67" s="34">
        <f t="shared" si="62"/>
        <v>30.902954325135919</v>
      </c>
      <c r="P67" s="33" t="str">
        <f t="shared" si="50"/>
        <v>54,631621870174</v>
      </c>
      <c r="Q67" s="4" t="str">
        <f t="shared" si="63"/>
        <v>1+0,866750978710947i</v>
      </c>
      <c r="R67" s="4">
        <f t="shared" si="64"/>
        <v>1.3233507694849407</v>
      </c>
      <c r="S67" s="4">
        <f t="shared" si="65"/>
        <v>0.71413884434411667</v>
      </c>
      <c r="T67" s="4" t="str">
        <f t="shared" si="51"/>
        <v>1+0,00293583510708974i</v>
      </c>
      <c r="U67" s="4">
        <f t="shared" si="66"/>
        <v>1.0000043095546018</v>
      </c>
      <c r="V67" s="4">
        <f t="shared" si="67"/>
        <v>2.9358266723540543E-3</v>
      </c>
      <c r="W67" t="str">
        <f t="shared" si="52"/>
        <v>1-0,000772664198294474i</v>
      </c>
      <c r="X67" s="4">
        <f t="shared" si="68"/>
        <v>1.000000298504937</v>
      </c>
      <c r="Y67" s="4">
        <f t="shared" si="69"/>
        <v>-7.7266404453178749E-4</v>
      </c>
      <c r="Z67" t="str">
        <f t="shared" si="53"/>
        <v>0,99999999618003+0,000106157811504691i</v>
      </c>
      <c r="AA67" s="4">
        <f t="shared" si="70"/>
        <v>1.0000000018147703</v>
      </c>
      <c r="AB67" s="4">
        <f t="shared" si="71"/>
        <v>1.061578115114295E-4</v>
      </c>
      <c r="AC67" s="47" t="str">
        <f t="shared" si="72"/>
        <v>31,2513546183544-26,9747642538035i</v>
      </c>
      <c r="AD67" s="20">
        <f t="shared" si="73"/>
        <v>32.315422399933951</v>
      </c>
      <c r="AE67" s="43">
        <f t="shared" si="74"/>
        <v>-40.799284072855201</v>
      </c>
      <c r="AF67" t="str">
        <f t="shared" si="54"/>
        <v>171,265703090588</v>
      </c>
      <c r="AG67" t="str">
        <f t="shared" si="55"/>
        <v>1+0,858456156731646i</v>
      </c>
      <c r="AH67">
        <f t="shared" si="75"/>
        <v>1.317932840864992</v>
      </c>
      <c r="AI67">
        <f t="shared" si="76"/>
        <v>0.70938285960154146</v>
      </c>
      <c r="AJ67" t="str">
        <f t="shared" si="56"/>
        <v>1+0,00293583510708974i</v>
      </c>
      <c r="AK67">
        <f t="shared" si="77"/>
        <v>1.0000043095546018</v>
      </c>
      <c r="AL67">
        <f t="shared" si="78"/>
        <v>2.9358266723540543E-3</v>
      </c>
      <c r="AM67" t="str">
        <f t="shared" si="57"/>
        <v>1-0,000244111312131088i</v>
      </c>
      <c r="AN67">
        <f t="shared" si="79"/>
        <v>1.0000000297951659</v>
      </c>
      <c r="AO67">
        <f t="shared" si="80"/>
        <v>-2.4411130728219674E-4</v>
      </c>
      <c r="AP67" s="41" t="str">
        <f t="shared" si="81"/>
        <v>98,8294845830493-84,3797795386647i</v>
      </c>
      <c r="AQ67">
        <f t="shared" si="82"/>
        <v>42.275580125337278</v>
      </c>
      <c r="AR67" s="43">
        <f t="shared" si="83"/>
        <v>-40.490419984020626</v>
      </c>
      <c r="AS67" t="str">
        <f t="shared" si="58"/>
        <v>-0,0000166666666666667</v>
      </c>
      <c r="AT67" t="str">
        <f t="shared" si="59"/>
        <v>2,9766105946882E-07i</v>
      </c>
      <c r="AU67">
        <f t="shared" si="84"/>
        <v>2.9766105946881999E-7</v>
      </c>
      <c r="AV67">
        <f t="shared" si="85"/>
        <v>1.5707963267948966</v>
      </c>
      <c r="AW67" t="str">
        <f t="shared" si="60"/>
        <v>1+0,00137932177786265i</v>
      </c>
      <c r="AX67">
        <f t="shared" si="86"/>
        <v>1.000000951263831</v>
      </c>
      <c r="AY67">
        <f t="shared" si="87"/>
        <v>1.3793209031306201E-3</v>
      </c>
      <c r="AZ67" t="str">
        <f t="shared" si="61"/>
        <v>1+0,0640757662261649i</v>
      </c>
      <c r="BA67">
        <f t="shared" si="88"/>
        <v>1.0020507491227528</v>
      </c>
      <c r="BB67">
        <f t="shared" si="89"/>
        <v>6.3988289577854018E-2</v>
      </c>
      <c r="BC67" s="41" t="str">
        <f t="shared" si="90"/>
        <v>-3,51049866799479+55,9969382733146i</v>
      </c>
      <c r="BD67">
        <f t="shared" si="91"/>
        <v>34.980320606429586</v>
      </c>
      <c r="BE67" s="43">
        <f t="shared" si="92"/>
        <v>93.587229664728426</v>
      </c>
      <c r="BF67" s="41" t="str">
        <f t="shared" si="93"/>
        <v>1400,79637009668+1844,67504950391i</v>
      </c>
      <c r="BG67" s="20">
        <f t="shared" si="94"/>
        <v>67.295743006363551</v>
      </c>
      <c r="BH67" s="43">
        <f t="shared" si="95"/>
        <v>52.787945591873303</v>
      </c>
      <c r="BI67" s="41" t="str">
        <f t="shared" si="101"/>
        <v>4378,0685323551+5830,36365145668i</v>
      </c>
      <c r="BJ67" s="20">
        <f t="shared" si="97"/>
        <v>77.255900731766872</v>
      </c>
      <c r="BK67" s="43">
        <f t="shared" si="102"/>
        <v>53.09680968070775</v>
      </c>
      <c r="BL67">
        <f t="shared" si="99"/>
        <v>67.295743006363551</v>
      </c>
      <c r="BM67" s="43">
        <f t="shared" si="100"/>
        <v>52.787945591873303</v>
      </c>
    </row>
    <row r="68" spans="1:65" x14ac:dyDescent="0.25">
      <c r="N68" s="9">
        <v>50</v>
      </c>
      <c r="O68" s="34">
        <f t="shared" si="62"/>
        <v>31.622776601683803</v>
      </c>
      <c r="P68" s="33" t="str">
        <f t="shared" si="50"/>
        <v>54,631621870174</v>
      </c>
      <c r="Q68" s="4" t="str">
        <f t="shared" si="63"/>
        <v>1+0,886940202567396i</v>
      </c>
      <c r="R68" s="4">
        <f t="shared" si="64"/>
        <v>1.3366611099790005</v>
      </c>
      <c r="S68" s="4">
        <f t="shared" si="65"/>
        <v>0.72555271026365564</v>
      </c>
      <c r="T68" s="4" t="str">
        <f t="shared" si="51"/>
        <v>1+0,00300421949157674i</v>
      </c>
      <c r="U68" s="4">
        <f t="shared" si="66"/>
        <v>1.0000045126571948</v>
      </c>
      <c r="V68" s="4">
        <f t="shared" si="67"/>
        <v>3.0042104535968209E-3</v>
      </c>
      <c r="W68" t="str">
        <f t="shared" si="52"/>
        <v>1-0,000790661859500961i</v>
      </c>
      <c r="X68" s="4">
        <f t="shared" si="68"/>
        <v>1.0000003125730392</v>
      </c>
      <c r="Y68" s="4">
        <f t="shared" si="69"/>
        <v>-7.9066169474127678E-4</v>
      </c>
      <c r="Z68" t="str">
        <f t="shared" si="53"/>
        <v>0,999999996+0,000108630544588612i</v>
      </c>
      <c r="AA68" s="4">
        <f t="shared" si="70"/>
        <v>1.0000000019002975</v>
      </c>
      <c r="AB68" s="4">
        <f t="shared" si="71"/>
        <v>1.0863054459583248E-4</v>
      </c>
      <c r="AC68" s="47" t="str">
        <f t="shared" si="72"/>
        <v>30,6346305373439-27,0560898486787i</v>
      </c>
      <c r="AD68" s="20">
        <f t="shared" si="73"/>
        <v>32.228497520696472</v>
      </c>
      <c r="AE68" s="43">
        <f t="shared" si="74"/>
        <v>-41.450505182488364</v>
      </c>
      <c r="AF68" t="str">
        <f t="shared" si="54"/>
        <v>171,265703090588</v>
      </c>
      <c r="AG68" t="str">
        <f t="shared" si="55"/>
        <v>1+0,878452169363761i</v>
      </c>
      <c r="AH68">
        <f t="shared" si="75"/>
        <v>1.3310440315255907</v>
      </c>
      <c r="AI68">
        <f t="shared" si="76"/>
        <v>0.72078186882915574</v>
      </c>
      <c r="AJ68" t="str">
        <f t="shared" si="56"/>
        <v>1+0,00300421949157674i</v>
      </c>
      <c r="AK68">
        <f t="shared" si="77"/>
        <v>1.0000045126571948</v>
      </c>
      <c r="AL68">
        <f t="shared" si="78"/>
        <v>3.0042104535968209E-3</v>
      </c>
      <c r="AM68" t="str">
        <f t="shared" si="57"/>
        <v>1-0,000249797395040202i</v>
      </c>
      <c r="AN68">
        <f t="shared" si="79"/>
        <v>1.0000000311993689</v>
      </c>
      <c r="AO68">
        <f t="shared" si="80"/>
        <v>-2.4979738984452142E-4</v>
      </c>
      <c r="AP68" s="41" t="str">
        <f t="shared" si="81"/>
        <v>96,9026031788244-84,6525639424624i</v>
      </c>
      <c r="AQ68">
        <f t="shared" si="82"/>
        <v>42.189599055777848</v>
      </c>
      <c r="AR68" s="43">
        <f t="shared" si="83"/>
        <v>-41.13994278987402</v>
      </c>
      <c r="AS68" t="str">
        <f t="shared" si="58"/>
        <v>-0,0000166666666666667</v>
      </c>
      <c r="AT68" t="str">
        <f t="shared" si="59"/>
        <v>3,04594476229309E-07i</v>
      </c>
      <c r="AU68">
        <f t="shared" si="84"/>
        <v>3.0459447622930901E-7</v>
      </c>
      <c r="AV68">
        <f t="shared" si="85"/>
        <v>1.5707963267948966</v>
      </c>
      <c r="AW68" t="str">
        <f t="shared" si="60"/>
        <v>1+0,00141145030938708i</v>
      </c>
      <c r="AX68">
        <f t="shared" si="86"/>
        <v>1.0000009960954919</v>
      </c>
      <c r="AY68">
        <f t="shared" si="87"/>
        <v>1.4114493720948735E-3</v>
      </c>
      <c r="AZ68" t="str">
        <f t="shared" si="61"/>
        <v>1+0,0655682825542543i</v>
      </c>
      <c r="BA68">
        <f t="shared" si="88"/>
        <v>1.002147294401933</v>
      </c>
      <c r="BB68">
        <f t="shared" si="89"/>
        <v>6.5474560480613134E-2</v>
      </c>
      <c r="BC68" s="41" t="str">
        <f t="shared" si="90"/>
        <v>-3,51049835323212+54,7225153467884i</v>
      </c>
      <c r="BD68">
        <f t="shared" si="91"/>
        <v>34.781157042153609</v>
      </c>
      <c r="BE68" s="43">
        <f t="shared" si="92"/>
        <v>93.670545888995747</v>
      </c>
      <c r="BF68" s="41" t="str">
        <f t="shared" si="93"/>
        <v>1373,03447191519+1771,38439858168i</v>
      </c>
      <c r="BG68" s="20">
        <f t="shared" si="94"/>
        <v>67.009654562850073</v>
      </c>
      <c r="BH68" s="43">
        <f t="shared" si="95"/>
        <v>52.220040706507291</v>
      </c>
      <c r="BI68" s="41" t="str">
        <f t="shared" si="101"/>
        <v>4292,22480060322+5599,92687591386i</v>
      </c>
      <c r="BJ68" s="20">
        <f t="shared" si="97"/>
        <v>76.970756097931456</v>
      </c>
      <c r="BK68" s="43">
        <f t="shared" si="102"/>
        <v>52.530603099121734</v>
      </c>
      <c r="BL68">
        <f t="shared" si="99"/>
        <v>67.009654562850073</v>
      </c>
      <c r="BM68" s="43">
        <f t="shared" si="100"/>
        <v>52.220040706507291</v>
      </c>
    </row>
    <row r="69" spans="1:65" x14ac:dyDescent="0.25">
      <c r="A69" s="49" t="s">
        <v>457</v>
      </c>
      <c r="N69" s="9">
        <v>51</v>
      </c>
      <c r="O69" s="34">
        <f t="shared" si="62"/>
        <v>32.359365692962832</v>
      </c>
      <c r="P69" s="33" t="str">
        <f t="shared" si="50"/>
        <v>54,631621870174</v>
      </c>
      <c r="Q69" s="4" t="str">
        <f t="shared" si="63"/>
        <v>1+0,907599693859288i</v>
      </c>
      <c r="R69" s="4">
        <f t="shared" si="64"/>
        <v>1.3504581460724627</v>
      </c>
      <c r="S69" s="4">
        <f t="shared" si="65"/>
        <v>0.73699799664173704</v>
      </c>
      <c r="T69" s="4" t="str">
        <f t="shared" si="51"/>
        <v>1+0,00307419675300373i</v>
      </c>
      <c r="U69" s="4">
        <f t="shared" si="66"/>
        <v>1.0000047253316737</v>
      </c>
      <c r="V69" s="4">
        <f t="shared" si="67"/>
        <v>3.0741870686362381E-3</v>
      </c>
      <c r="W69" t="str">
        <f t="shared" si="52"/>
        <v>1-0,000809078740091003i</v>
      </c>
      <c r="X69" s="4">
        <f t="shared" si="68"/>
        <v>1.0000003273041502</v>
      </c>
      <c r="Y69" s="4">
        <f t="shared" si="69"/>
        <v>-8.0907856354782372E-4</v>
      </c>
      <c r="Z69" t="str">
        <f t="shared" si="53"/>
        <v>0,999999995811486+0,000111160875025168i</v>
      </c>
      <c r="AA69" s="4">
        <f t="shared" si="70"/>
        <v>1.0000000019898561</v>
      </c>
      <c r="AB69" s="4">
        <f t="shared" si="71"/>
        <v>1.1116087503290487E-4</v>
      </c>
      <c r="AC69" s="47" t="str">
        <f t="shared" si="72"/>
        <v>30,0145064552661-27,123482714347i</v>
      </c>
      <c r="AD69" s="20">
        <f t="shared" si="73"/>
        <v>32.139303166605288</v>
      </c>
      <c r="AE69" s="43">
        <f t="shared" si="74"/>
        <v>-42.103462608673915</v>
      </c>
      <c r="AF69" t="str">
        <f t="shared" si="54"/>
        <v>171,265703090588</v>
      </c>
      <c r="AG69" t="str">
        <f t="shared" si="55"/>
        <v>1+0,898913948963762i</v>
      </c>
      <c r="AH69">
        <f t="shared" si="75"/>
        <v>1.3446361171862167</v>
      </c>
      <c r="AI69">
        <f t="shared" si="76"/>
        <v>0.7322147494562844</v>
      </c>
      <c r="AJ69" t="str">
        <f t="shared" si="56"/>
        <v>1+0,00307419675300373i</v>
      </c>
      <c r="AK69">
        <f t="shared" si="77"/>
        <v>1.0000047253316737</v>
      </c>
      <c r="AL69">
        <f t="shared" si="78"/>
        <v>3.0741870686362381E-3</v>
      </c>
      <c r="AM69" t="str">
        <f t="shared" si="57"/>
        <v>1-0,000255615923834626i</v>
      </c>
      <c r="AN69">
        <f t="shared" si="79"/>
        <v>1.0000000326697498</v>
      </c>
      <c r="AO69">
        <f t="shared" si="80"/>
        <v>-2.5561591826735392E-4</v>
      </c>
      <c r="AP69" s="41" t="str">
        <f t="shared" si="81"/>
        <v>94,9642540605742-84,8819664005634i</v>
      </c>
      <c r="AQ69">
        <f t="shared" si="82"/>
        <v>42.101353916943722</v>
      </c>
      <c r="AR69" s="43">
        <f t="shared" si="83"/>
        <v>-41.791322609900611</v>
      </c>
      <c r="AS69" t="str">
        <f t="shared" si="58"/>
        <v>-0,0000166666666666667</v>
      </c>
      <c r="AT69" t="str">
        <f t="shared" si="59"/>
        <v>3,11689393012878E-07i</v>
      </c>
      <c r="AU69">
        <f t="shared" si="84"/>
        <v>3.11689393012878E-7</v>
      </c>
      <c r="AV69">
        <f t="shared" si="85"/>
        <v>1.5707963267948966</v>
      </c>
      <c r="AW69" t="str">
        <f t="shared" si="60"/>
        <v>1+0,0014443272105483i</v>
      </c>
      <c r="AX69">
        <f t="shared" si="86"/>
        <v>1.0000010430400017</v>
      </c>
      <c r="AY69">
        <f t="shared" si="87"/>
        <v>1.4443262062216625E-3</v>
      </c>
      <c r="AZ69" t="str">
        <f t="shared" si="61"/>
        <v>1+0,0670955640536527i</v>
      </c>
      <c r="BA69">
        <f t="shared" si="88"/>
        <v>1.0022483797520843</v>
      </c>
      <c r="BB69">
        <f t="shared" si="89"/>
        <v>6.6995151205913525E-2</v>
      </c>
      <c r="BC69" s="41" t="str">
        <f t="shared" si="90"/>
        <v>-3,51049802363524+53,4771070221958i</v>
      </c>
      <c r="BD69">
        <f t="shared" si="91"/>
        <v>34.582032725090805</v>
      </c>
      <c r="BE69" s="43">
        <f t="shared" si="92"/>
        <v>93.755785616082989</v>
      </c>
      <c r="BF69" s="41" t="str">
        <f t="shared" si="93"/>
        <v>1345,11952233821+1700,30590638947i</v>
      </c>
      <c r="BG69" s="20">
        <f t="shared" si="94"/>
        <v>66.721335891696071</v>
      </c>
      <c r="BH69" s="43">
        <f t="shared" si="95"/>
        <v>51.65232300740913</v>
      </c>
      <c r="BI69" s="41" t="str">
        <f t="shared" si="101"/>
        <v>4205,87017526172+5376,39155297177i</v>
      </c>
      <c r="BJ69" s="20">
        <f t="shared" si="97"/>
        <v>76.683386642034534</v>
      </c>
      <c r="BK69" s="43">
        <f t="shared" si="102"/>
        <v>51.96446300618237</v>
      </c>
      <c r="BL69">
        <f t="shared" si="99"/>
        <v>66.721335891696071</v>
      </c>
      <c r="BM69" s="43">
        <f t="shared" si="100"/>
        <v>51.65232300740913</v>
      </c>
    </row>
    <row r="70" spans="1:65" x14ac:dyDescent="0.25">
      <c r="A70" t="s">
        <v>480</v>
      </c>
      <c r="B70">
        <f>SQRT((2*IOUT*Lm*Fsw*(VOUT-VIN_var)/(VIN_var^2)))</f>
        <v>2.5144212156253327</v>
      </c>
      <c r="E70" s="31"/>
      <c r="N70" s="9">
        <v>52</v>
      </c>
      <c r="O70" s="34">
        <f t="shared" si="62"/>
        <v>33.113112148259127</v>
      </c>
      <c r="P70" s="33" t="str">
        <f t="shared" si="50"/>
        <v>54,631621870174</v>
      </c>
      <c r="Q70" s="4" t="str">
        <f t="shared" si="63"/>
        <v>1+0,928740406522371i</v>
      </c>
      <c r="R70" s="4">
        <f t="shared" si="64"/>
        <v>1.3647559278886972</v>
      </c>
      <c r="S70" s="4">
        <f t="shared" si="65"/>
        <v>0.74846877872337492</v>
      </c>
      <c r="T70" s="4" t="str">
        <f t="shared" si="51"/>
        <v>1+0,00314580399424097i</v>
      </c>
      <c r="U70" s="4">
        <f t="shared" si="66"/>
        <v>1.0000049480291435</v>
      </c>
      <c r="V70" s="4">
        <f t="shared" si="67"/>
        <v>3.1457936172570159E-3</v>
      </c>
      <c r="W70" t="str">
        <f t="shared" si="52"/>
        <v>1-0,000827924604938468i</v>
      </c>
      <c r="X70" s="4">
        <f t="shared" si="68"/>
        <v>1.000000342729517</v>
      </c>
      <c r="Y70" s="4">
        <f t="shared" si="69"/>
        <v>-8.2792441576904675E-4</v>
      </c>
      <c r="Z70" t="str">
        <f t="shared" si="53"/>
        <v>0,999999995614087+0,000113750144429052i</v>
      </c>
      <c r="AA70" s="4">
        <f t="shared" si="70"/>
        <v>1.0000000020836348</v>
      </c>
      <c r="AB70" s="4">
        <f t="shared" si="71"/>
        <v>1.1375014443734224E-4</v>
      </c>
      <c r="AC70" s="47" t="str">
        <f t="shared" si="72"/>
        <v>29,3916166205323-27,1767668302863i</v>
      </c>
      <c r="AD70" s="20">
        <f t="shared" si="73"/>
        <v>32.047828024981364</v>
      </c>
      <c r="AE70" s="43">
        <f t="shared" si="74"/>
        <v>-42.757815398647111</v>
      </c>
      <c r="AF70" t="str">
        <f t="shared" si="54"/>
        <v>171,265703090588</v>
      </c>
      <c r="AG70" t="str">
        <f t="shared" si="55"/>
        <v>1+0,919852344638041i</v>
      </c>
      <c r="AH70">
        <f t="shared" si="75"/>
        <v>1.3587230534351367</v>
      </c>
      <c r="AI70">
        <f t="shared" si="76"/>
        <v>0.74367560908996089</v>
      </c>
      <c r="AJ70" t="str">
        <f t="shared" si="56"/>
        <v>1+0,00314580399424097i</v>
      </c>
      <c r="AK70">
        <f t="shared" si="77"/>
        <v>1.0000049480291435</v>
      </c>
      <c r="AL70">
        <f t="shared" si="78"/>
        <v>3.1457936172570159E-3</v>
      </c>
      <c r="AM70" t="str">
        <f t="shared" si="57"/>
        <v>1-0,000261569983575344i</v>
      </c>
      <c r="AN70">
        <f t="shared" si="79"/>
        <v>1.0000000342094275</v>
      </c>
      <c r="AO70">
        <f t="shared" si="80"/>
        <v>-2.6156997760990456E-4</v>
      </c>
      <c r="AP70" s="41" t="str">
        <f t="shared" si="81"/>
        <v>93,0164065372104-85,0673892773438i</v>
      </c>
      <c r="AQ70">
        <f t="shared" si="82"/>
        <v>42.010832428145591</v>
      </c>
      <c r="AR70" s="43">
        <f t="shared" si="83"/>
        <v>-42.444219885951966</v>
      </c>
      <c r="AS70" t="str">
        <f t="shared" si="58"/>
        <v>-0,0000166666666666667</v>
      </c>
      <c r="AT70" t="str">
        <f t="shared" si="59"/>
        <v>3,1894957163832E-07i</v>
      </c>
      <c r="AU70">
        <f t="shared" si="84"/>
        <v>3.1894957163832002E-7</v>
      </c>
      <c r="AV70">
        <f t="shared" si="85"/>
        <v>1.5707963267948966</v>
      </c>
      <c r="AW70" t="str">
        <f t="shared" si="60"/>
        <v>1+0,00147796991311449i</v>
      </c>
      <c r="AX70">
        <f t="shared" si="86"/>
        <v>1.0000010921969356</v>
      </c>
      <c r="AY70">
        <f t="shared" si="87"/>
        <v>1.4779688369591728E-3</v>
      </c>
      <c r="AZ70" t="str">
        <f t="shared" si="61"/>
        <v>1+0,0686584205092276i</v>
      </c>
      <c r="BA70">
        <f t="shared" si="88"/>
        <v>1.0023542181817873</v>
      </c>
      <c r="BB70">
        <f t="shared" si="89"/>
        <v>6.8550839848019782E-2</v>
      </c>
      <c r="BC70" s="41" t="str">
        <f t="shared" si="90"/>
        <v>-3,51049767850499+52,2600529675544i</v>
      </c>
      <c r="BD70">
        <f t="shared" si="91"/>
        <v>34.382949488311439</v>
      </c>
      <c r="BE70" s="43">
        <f t="shared" si="92"/>
        <v>93.842992428759132</v>
      </c>
      <c r="BF70" s="41" t="str">
        <f t="shared" si="93"/>
        <v>1317,08007212375+1631,41141825806i</v>
      </c>
      <c r="BG70" s="20">
        <f t="shared" si="94"/>
        <v>66.430777513292796</v>
      </c>
      <c r="BH70" s="43">
        <f t="shared" si="95"/>
        <v>51.085177030112</v>
      </c>
      <c r="BI70" s="41" t="str">
        <f t="shared" si="101"/>
        <v>4119,0923902338+5159,67120506078i</v>
      </c>
      <c r="BJ70" s="20">
        <f t="shared" si="97"/>
        <v>76.39378191645703</v>
      </c>
      <c r="BK70" s="43">
        <f t="shared" si="102"/>
        <v>51.398772542807158</v>
      </c>
      <c r="BL70">
        <f t="shared" si="99"/>
        <v>66.430777513292796</v>
      </c>
      <c r="BM70" s="43">
        <f t="shared" si="100"/>
        <v>51.085177030112</v>
      </c>
    </row>
    <row r="71" spans="1:65" x14ac:dyDescent="0.25">
      <c r="A71" t="s">
        <v>459</v>
      </c>
      <c r="B71">
        <f>(Fsw*Gcomp)/((R_cs*Acs*(VIN_var/Lm))+((R_sl+Rsl_int)*Isl))</f>
        <v>9.0909016528986495</v>
      </c>
      <c r="C71" t="s">
        <v>150</v>
      </c>
      <c r="E71" s="158"/>
      <c r="N71" s="9">
        <v>53</v>
      </c>
      <c r="O71" s="34">
        <f t="shared" si="62"/>
        <v>33.884415613920268</v>
      </c>
      <c r="P71" s="33" t="str">
        <f t="shared" si="50"/>
        <v>54,631621870174</v>
      </c>
      <c r="Q71" s="4" t="str">
        <f t="shared" si="63"/>
        <v>1+0,950373549642317i</v>
      </c>
      <c r="R71" s="4">
        <f t="shared" si="64"/>
        <v>1.3795687311111897</v>
      </c>
      <c r="S71" s="4">
        <f t="shared" si="65"/>
        <v>0.7599590649795962</v>
      </c>
      <c r="T71" s="4" t="str">
        <f t="shared" si="51"/>
        <v>1+0,00321907918239558i</v>
      </c>
      <c r="U71" s="4">
        <f t="shared" si="66"/>
        <v>1.0000051812219688</v>
      </c>
      <c r="V71" s="4">
        <f t="shared" si="67"/>
        <v>3.219068063260055E-3</v>
      </c>
      <c r="W71" t="str">
        <f t="shared" si="52"/>
        <v>1-0,000847209446370343i</v>
      </c>
      <c r="X71" s="4">
        <f t="shared" si="68"/>
        <v>1.0000003588818585</v>
      </c>
      <c r="Y71" s="4">
        <f t="shared" si="69"/>
        <v>-8.4720924367166002E-4</v>
      </c>
      <c r="Z71" t="str">
        <f t="shared" si="53"/>
        <v>0,999999995407385+0,000116399725665172i</v>
      </c>
      <c r="AA71" s="4">
        <f t="shared" si="70"/>
        <v>1.0000000021818332</v>
      </c>
      <c r="AB71" s="4">
        <f t="shared" si="71"/>
        <v>1.163997256740552E-4</v>
      </c>
      <c r="AC71" s="47" t="str">
        <f t="shared" si="72"/>
        <v>28,7666068351741-27,2158022828394i</v>
      </c>
      <c r="AD71" s="20">
        <f t="shared" si="73"/>
        <v>31.954063132777122</v>
      </c>
      <c r="AE71" s="43">
        <f t="shared" si="74"/>
        <v>-43.413218739093445</v>
      </c>
      <c r="AF71" t="str">
        <f t="shared" si="54"/>
        <v>171,265703090588</v>
      </c>
      <c r="AG71" t="str">
        <f t="shared" si="55"/>
        <v>1+0,941278458201125i</v>
      </c>
      <c r="AH71">
        <f t="shared" si="75"/>
        <v>1.3733190218858424</v>
      </c>
      <c r="AI71">
        <f t="shared" si="76"/>
        <v>0.75515848223081572</v>
      </c>
      <c r="AJ71" t="str">
        <f t="shared" si="56"/>
        <v>1+0,00321907918239558i</v>
      </c>
      <c r="AK71">
        <f t="shared" si="77"/>
        <v>1.0000051812219688</v>
      </c>
      <c r="AL71">
        <f t="shared" si="78"/>
        <v>3.219068063260055E-3</v>
      </c>
      <c r="AM71" t="str">
        <f t="shared" si="57"/>
        <v>1-0,000267662731183641i</v>
      </c>
      <c r="AN71">
        <f t="shared" si="79"/>
        <v>1.0000000358216683</v>
      </c>
      <c r="AO71">
        <f t="shared" si="80"/>
        <v>-2.6766272479155745E-4</v>
      </c>
      <c r="AP71" s="41" t="str">
        <f t="shared" si="81"/>
        <v>91,06106947984-85,2083466684993i</v>
      </c>
      <c r="AQ71">
        <f t="shared" si="82"/>
        <v>41.918024639781308</v>
      </c>
      <c r="AR71" s="43">
        <f t="shared" si="83"/>
        <v>-43.098290825804071</v>
      </c>
      <c r="AS71" t="str">
        <f t="shared" si="58"/>
        <v>-0,0000166666666666667</v>
      </c>
      <c r="AT71" t="str">
        <f t="shared" si="59"/>
        <v>3,26378861548441E-07i</v>
      </c>
      <c r="AU71">
        <f t="shared" si="84"/>
        <v>3.2637886154844101E-7</v>
      </c>
      <c r="AV71">
        <f t="shared" si="85"/>
        <v>1.5707963267948966</v>
      </c>
      <c r="AW71" t="str">
        <f t="shared" si="60"/>
        <v>1+0,00151239625489184i</v>
      </c>
      <c r="AX71">
        <f t="shared" si="86"/>
        <v>1.000001143670562</v>
      </c>
      <c r="AY71">
        <f t="shared" si="87"/>
        <v>1.5123951017707133E-3</v>
      </c>
      <c r="AZ71" t="str">
        <f t="shared" si="61"/>
        <v>1+0,0702576805681575i</v>
      </c>
      <c r="BA71">
        <f t="shared" si="88"/>
        <v>1.0024650326464346</v>
      </c>
      <c r="BB71">
        <f t="shared" si="89"/>
        <v>7.014242111648912E-2</v>
      </c>
      <c r="BC71" s="41" t="str">
        <f t="shared" si="90"/>
        <v>-3,51049731710931+51,0707078846919i</v>
      </c>
      <c r="BD71">
        <f t="shared" si="91"/>
        <v>34.183909249686181</v>
      </c>
      <c r="BE71" s="43">
        <f t="shared" si="92"/>
        <v>93.932210838516411</v>
      </c>
      <c r="BF71" s="41" t="str">
        <f t="shared" si="93"/>
        <v>1288,94519211721+1564,67197540984i</v>
      </c>
      <c r="BG71" s="20">
        <f t="shared" si="94"/>
        <v>66.137972382463317</v>
      </c>
      <c r="BH71" s="43">
        <f t="shared" si="95"/>
        <v>50.518992099422803</v>
      </c>
      <c r="BI71" s="41" t="str">
        <f t="shared" si="101"/>
        <v>4031,98094194241+4949,67695144763i</v>
      </c>
      <c r="BJ71" s="20">
        <f t="shared" si="97"/>
        <v>76.101933889467489</v>
      </c>
      <c r="BK71" s="43">
        <f t="shared" si="102"/>
        <v>50.833920012712319</v>
      </c>
      <c r="BL71">
        <f t="shared" si="99"/>
        <v>66.137972382463317</v>
      </c>
      <c r="BM71" s="43">
        <f t="shared" si="100"/>
        <v>50.518992099422803</v>
      </c>
    </row>
    <row r="72" spans="1:65" x14ac:dyDescent="0.25">
      <c r="A72" t="s">
        <v>458</v>
      </c>
      <c r="B72">
        <f>(B71*2*VOUT/DC_VIN_var_DCM)*(((VOUT/VIN_var)-1)/((2*VOUT/VIN_var)-1))</f>
        <v>171.26570309058843</v>
      </c>
      <c r="C72" t="s">
        <v>150</v>
      </c>
      <c r="N72" s="9">
        <v>54</v>
      </c>
      <c r="O72" s="34">
        <f t="shared" si="62"/>
        <v>34.67368504525318</v>
      </c>
      <c r="P72" s="33" t="str">
        <f t="shared" si="50"/>
        <v>54,631621870174</v>
      </c>
      <c r="Q72" s="4" t="str">
        <f t="shared" si="63"/>
        <v>1+0,972510593397969i</v>
      </c>
      <c r="R72" s="4">
        <f t="shared" si="64"/>
        <v>1.3949110560430975</v>
      </c>
      <c r="S72" s="4">
        <f t="shared" si="65"/>
        <v>0.77146281255825599</v>
      </c>
      <c r="T72" s="4" t="str">
        <f t="shared" si="51"/>
        <v>1+0,00329406116894226i</v>
      </c>
      <c r="U72" s="4">
        <f t="shared" si="66"/>
        <v>1.0000054254047748</v>
      </c>
      <c r="V72" s="4">
        <f t="shared" si="67"/>
        <v>3.2940492545773786E-3</v>
      </c>
      <c r="W72" t="str">
        <f t="shared" si="52"/>
        <v>1-0,000866943489464829i</v>
      </c>
      <c r="X72" s="4">
        <f t="shared" si="68"/>
        <v>1.0000003757954363</v>
      </c>
      <c r="Y72" s="4">
        <f t="shared" si="69"/>
        <v>-8.6694327226928157E-4</v>
      </c>
      <c r="Z72" t="str">
        <f t="shared" si="53"/>
        <v>0,999999995190942+0,000119111023576572i</v>
      </c>
      <c r="AA72" s="4">
        <f t="shared" si="70"/>
        <v>1.00000000228466</v>
      </c>
      <c r="AB72" s="4">
        <f t="shared" si="71"/>
        <v>1.191110235860905E-4</v>
      </c>
      <c r="AC72" s="47" t="str">
        <f t="shared" si="72"/>
        <v>28,1401318094767-27,2404861572292i</v>
      </c>
      <c r="AD72" s="20">
        <f t="shared" si="73"/>
        <v>31.858001914156841</v>
      </c>
      <c r="AE72" s="43">
        <f t="shared" si="74"/>
        <v>-44.06932484060799</v>
      </c>
      <c r="AF72" t="str">
        <f t="shared" si="54"/>
        <v>171,265703090588</v>
      </c>
      <c r="AG72" t="str">
        <f t="shared" si="55"/>
        <v>1+0,963203650062044i</v>
      </c>
      <c r="AH72">
        <f t="shared" si="75"/>
        <v>1.3884384291328313</v>
      </c>
      <c r="AI72">
        <f t="shared" si="76"/>
        <v>0.76665734555819565</v>
      </c>
      <c r="AJ72" t="str">
        <f t="shared" si="56"/>
        <v>1+0,00329406116894226i</v>
      </c>
      <c r="AK72">
        <f t="shared" si="77"/>
        <v>1.0000054254047748</v>
      </c>
      <c r="AL72">
        <f t="shared" si="78"/>
        <v>3.2940492545773786E-3</v>
      </c>
      <c r="AM72" t="str">
        <f t="shared" si="57"/>
        <v>1-0,000273897397114947i</v>
      </c>
      <c r="AN72">
        <f t="shared" si="79"/>
        <v>1.0000000375098914</v>
      </c>
      <c r="AO72">
        <f t="shared" si="80"/>
        <v>-2.7389739026570609E-4</v>
      </c>
      <c r="AP72" s="41" t="str">
        <f t="shared" si="81"/>
        <v>89,1002831600164-85,3044674894587i</v>
      </c>
      <c r="AQ72">
        <f t="shared" si="82"/>
        <v>41.822922974939843</v>
      </c>
      <c r="AR72" s="43">
        <f t="shared" si="83"/>
        <v>-43.753188277873697</v>
      </c>
      <c r="AS72" t="str">
        <f t="shared" si="58"/>
        <v>-0,0000166666666666667</v>
      </c>
      <c r="AT72" t="str">
        <f t="shared" si="59"/>
        <v>3,33981201851091E-07i</v>
      </c>
      <c r="AU72">
        <f t="shared" si="84"/>
        <v>3.3398120185109102E-7</v>
      </c>
      <c r="AV72">
        <f t="shared" si="85"/>
        <v>1.5707963267948966</v>
      </c>
      <c r="AW72" t="str">
        <f t="shared" si="60"/>
        <v>1+0,00154762448918248i</v>
      </c>
      <c r="AX72">
        <f t="shared" si="86"/>
        <v>1.0000011975700627</v>
      </c>
      <c r="AY72">
        <f t="shared" si="87"/>
        <v>1.5476232535910114E-3</v>
      </c>
      <c r="AZ72" t="str">
        <f t="shared" si="61"/>
        <v>1+0,0718941921792953i</v>
      </c>
      <c r="BA72">
        <f t="shared" si="88"/>
        <v>1.0025810565082074</v>
      </c>
      <c r="BB72">
        <f t="shared" si="89"/>
        <v>7.1770706617187319E-2</v>
      </c>
      <c r="BC72" s="41" t="str">
        <f t="shared" si="90"/>
        <v>-3,51049693868166+49,9084411670989i</v>
      </c>
      <c r="BD72">
        <f t="shared" si="91"/>
        <v>33.98491401573073</v>
      </c>
      <c r="BE72" s="43">
        <f t="shared" si="92"/>
        <v>94.02348630112941</v>
      </c>
      <c r="BF72" s="41" t="str">
        <f t="shared" si="93"/>
        <v>1260,74435416998+1500,05775611083i</v>
      </c>
      <c r="BG72" s="20">
        <f t="shared" si="94"/>
        <v>65.842915929887582</v>
      </c>
      <c r="BH72" s="43">
        <f t="shared" si="95"/>
        <v>49.954161460521419</v>
      </c>
      <c r="BI72" s="41" t="str">
        <f t="shared" si="101"/>
        <v>3944,62672571944+4746,31731204115i</v>
      </c>
      <c r="BJ72" s="20">
        <f t="shared" si="97"/>
        <v>75.80783699067058</v>
      </c>
      <c r="BK72" s="43">
        <f t="shared" si="102"/>
        <v>50.270298023255776</v>
      </c>
      <c r="BL72">
        <f t="shared" si="99"/>
        <v>65.842915929887582</v>
      </c>
      <c r="BM72" s="43">
        <f t="shared" si="100"/>
        <v>49.954161460521419</v>
      </c>
    </row>
    <row r="73" spans="1:65" x14ac:dyDescent="0.25">
      <c r="A73" t="s">
        <v>483</v>
      </c>
      <c r="B73">
        <f>(IOUT_VAR*((2*VOUT)-VIN_var))/(Cout*VOUT*(VOUT-VIN_var))</f>
        <v>226.18393151653186</v>
      </c>
      <c r="C73" t="s">
        <v>385</v>
      </c>
      <c r="N73" s="9">
        <v>55</v>
      </c>
      <c r="O73" s="34">
        <f t="shared" si="62"/>
        <v>35.481338923357555</v>
      </c>
      <c r="P73" s="33" t="str">
        <f t="shared" si="50"/>
        <v>54,631621870174</v>
      </c>
      <c r="Q73" s="4" t="str">
        <f t="shared" si="63"/>
        <v>1+0,995163275142939i</v>
      </c>
      <c r="R73" s="4">
        <f t="shared" si="64"/>
        <v>1.4107976269448503</v>
      </c>
      <c r="S73" s="4">
        <f t="shared" si="65"/>
        <v>0.78297394306299073</v>
      </c>
      <c r="T73" s="4" t="str">
        <f t="shared" si="51"/>
        <v>1+0,00337078971032276i</v>
      </c>
      <c r="U73" s="4">
        <f t="shared" si="66"/>
        <v>1.0000056810954983</v>
      </c>
      <c r="V73" s="4">
        <f t="shared" si="67"/>
        <v>3.3707769438546969E-3</v>
      </c>
      <c r="W73" t="str">
        <f t="shared" si="52"/>
        <v>1-0,000887137197472783i</v>
      </c>
      <c r="X73" s="4">
        <f t="shared" si="68"/>
        <v>1.0000003935061261</v>
      </c>
      <c r="Y73" s="4">
        <f t="shared" si="69"/>
        <v>-8.8713696474356581E-4</v>
      </c>
      <c r="Z73" t="str">
        <f t="shared" si="53"/>
        <v>0,999999994964298+0,000121885475729294i</v>
      </c>
      <c r="AA73" s="4">
        <f t="shared" si="70"/>
        <v>1.0000000023923326</v>
      </c>
      <c r="AB73" s="4">
        <f t="shared" si="71"/>
        <v>1.2188547573949325E-4</v>
      </c>
      <c r="AC73" s="47" t="str">
        <f t="shared" si="72"/>
        <v>27,5128524373954-27,2507531976182i</v>
      </c>
      <c r="AD73" s="20">
        <f t="shared" si="73"/>
        <v>31.759640208217967</v>
      </c>
      <c r="AE73" s="43">
        <f t="shared" si="74"/>
        <v>-44.725783840936614</v>
      </c>
      <c r="AF73" t="str">
        <f t="shared" si="54"/>
        <v>171,265703090588</v>
      </c>
      <c r="AG73" t="str">
        <f t="shared" si="55"/>
        <v>1+0,985639545247733i</v>
      </c>
      <c r="AH73">
        <f t="shared" si="75"/>
        <v>1.4040959059680211</v>
      </c>
      <c r="AI73">
        <f t="shared" si="76"/>
        <v>0.77816613358399467</v>
      </c>
      <c r="AJ73" t="str">
        <f t="shared" si="56"/>
        <v>1+0,00337078971032276i</v>
      </c>
      <c r="AK73">
        <f t="shared" si="77"/>
        <v>1.0000056810954983</v>
      </c>
      <c r="AL73">
        <f t="shared" si="78"/>
        <v>3.3707769438546969E-3</v>
      </c>
      <c r="AM73" t="str">
        <f t="shared" si="57"/>
        <v>1-0,000280277287071664i</v>
      </c>
      <c r="AN73">
        <f t="shared" si="79"/>
        <v>1.000000039277678</v>
      </c>
      <c r="AO73">
        <f t="shared" si="80"/>
        <v>-2.8027727973257017E-4</v>
      </c>
      <c r="AP73" s="41" t="str">
        <f t="shared" si="81"/>
        <v>87,136110809617-85,3554978499687i</v>
      </c>
      <c r="AQ73">
        <f t="shared" si="82"/>
        <v>41.725522261274797</v>
      </c>
      <c r="AR73" s="43">
        <f t="shared" si="83"/>
        <v>-44.408562627035543</v>
      </c>
      <c r="AS73" t="str">
        <f t="shared" si="58"/>
        <v>-0,0000166666666666667</v>
      </c>
      <c r="AT73" t="str">
        <f t="shared" si="59"/>
        <v>3,41760623407725E-07i</v>
      </c>
      <c r="AU73">
        <f t="shared" si="84"/>
        <v>3.4176062340772502E-7</v>
      </c>
      <c r="AV73">
        <f t="shared" si="85"/>
        <v>1.5707963267948966</v>
      </c>
      <c r="AW73" t="str">
        <f t="shared" si="60"/>
        <v>1+0,00158367329446251i</v>
      </c>
      <c r="AX73">
        <f t="shared" si="86"/>
        <v>1.0000012540097656</v>
      </c>
      <c r="AY73">
        <f t="shared" si="87"/>
        <v>1.5836719705024877E-3</v>
      </c>
      <c r="AZ73" t="str">
        <f t="shared" si="61"/>
        <v>1+0,0735688230427587i</v>
      </c>
      <c r="BA73">
        <f t="shared" si="88"/>
        <v>1.0027025340168922</v>
      </c>
      <c r="BB73">
        <f t="shared" si="89"/>
        <v>7.343652513249134E-2</v>
      </c>
      <c r="BC73" s="41" t="str">
        <f t="shared" si="90"/>
        <v>-3,51049654241937+48,7726365655741i</v>
      </c>
      <c r="BD73">
        <f t="shared" si="91"/>
        <v>33.785965885617586</v>
      </c>
      <c r="BE73" s="43">
        <f t="shared" si="92"/>
        <v>94.116865232155192</v>
      </c>
      <c r="BF73" s="41" t="str">
        <f t="shared" si="93"/>
        <v>1232,50730849202+1437,53802768992i</v>
      </c>
      <c r="BG73" s="20">
        <f t="shared" si="94"/>
        <v>65.545606093835573</v>
      </c>
      <c r="BH73" s="43">
        <f t="shared" si="95"/>
        <v>49.391081391218584</v>
      </c>
      <c r="BI73" s="41" t="str">
        <f t="shared" si="101"/>
        <v>3857,12165979313+4549,49804433384i</v>
      </c>
      <c r="BJ73" s="20">
        <f t="shared" si="97"/>
        <v>75.51148814689239</v>
      </c>
      <c r="BK73" s="43">
        <f t="shared" si="102"/>
        <v>49.70830260511967</v>
      </c>
      <c r="BL73">
        <f t="shared" si="99"/>
        <v>65.545606093835573</v>
      </c>
      <c r="BM73" s="43">
        <f t="shared" si="100"/>
        <v>49.391081391218584</v>
      </c>
    </row>
    <row r="74" spans="1:65" x14ac:dyDescent="0.25">
      <c r="B74">
        <f>B73/(2*PI())</f>
        <v>35.998290748814782</v>
      </c>
      <c r="C74" t="s">
        <v>65</v>
      </c>
      <c r="N74" s="9">
        <v>56</v>
      </c>
      <c r="O74" s="34">
        <f t="shared" si="62"/>
        <v>36.307805477010156</v>
      </c>
      <c r="P74" s="33" t="str">
        <f t="shared" si="50"/>
        <v>54,631621870174</v>
      </c>
      <c r="Q74" s="4" t="str">
        <f t="shared" si="63"/>
        <v>1+1,01834360562894i</v>
      </c>
      <c r="R74" s="4">
        <f t="shared" si="64"/>
        <v>1.4272433916909024</v>
      </c>
      <c r="S74" s="4">
        <f t="shared" si="65"/>
        <v>0.7944863585606432</v>
      </c>
      <c r="T74" s="4" t="str">
        <f t="shared" si="51"/>
        <v>1+0,00344930548902537i</v>
      </c>
      <c r="U74" s="4">
        <f t="shared" si="66"/>
        <v>1.0000059488364839</v>
      </c>
      <c r="V74" s="4">
        <f t="shared" si="67"/>
        <v>3.4492918095127756E-3</v>
      </c>
      <c r="W74" t="str">
        <f t="shared" si="52"/>
        <v>1-0,00090780127736549i</v>
      </c>
      <c r="X74" s="4">
        <f t="shared" si="68"/>
        <v>1.0000004120514947</v>
      </c>
      <c r="Y74" s="4">
        <f t="shared" si="69"/>
        <v>-9.0780102799164651E-4</v>
      </c>
      <c r="Z74" t="str">
        <f t="shared" si="53"/>
        <v>0,999999994726973+0,000124724553174593i</v>
      </c>
      <c r="AA74" s="4">
        <f t="shared" si="70"/>
        <v>1.0000000025050799</v>
      </c>
      <c r="AB74" s="4">
        <f t="shared" si="71"/>
        <v>1.2472455318552166E-4</v>
      </c>
      <c r="AC74" s="47" t="str">
        <f t="shared" si="72"/>
        <v>26,8854330166568-27,2465762273616i</v>
      </c>
      <c r="AD74" s="20">
        <f t="shared" si="73"/>
        <v>31.65897628660526</v>
      </c>
      <c r="AE74" s="43">
        <f t="shared" si="74"/>
        <v>-45.382244721288835</v>
      </c>
      <c r="AF74" t="str">
        <f t="shared" si="54"/>
        <v>171,265703090588</v>
      </c>
      <c r="AG74" t="str">
        <f t="shared" si="55"/>
        <v>1+1,0085980395668i</v>
      </c>
      <c r="AH74">
        <f t="shared" si="75"/>
        <v>1.4203063068993222</v>
      </c>
      <c r="AI74">
        <f t="shared" si="76"/>
        <v>0.78967875457701042</v>
      </c>
      <c r="AJ74" t="str">
        <f t="shared" si="56"/>
        <v>1+0,00344930548902537i</v>
      </c>
      <c r="AK74">
        <f t="shared" si="77"/>
        <v>1.0000059488364839</v>
      </c>
      <c r="AL74">
        <f t="shared" si="78"/>
        <v>3.4492918095127756E-3</v>
      </c>
      <c r="AM74" t="str">
        <f t="shared" si="57"/>
        <v>1-0,000286805783755896i</v>
      </c>
      <c r="AN74">
        <f t="shared" si="79"/>
        <v>1.0000000411287779</v>
      </c>
      <c r="AO74">
        <f t="shared" si="80"/>
        <v>-2.8680577589191534E-4</v>
      </c>
      <c r="AP74" s="41" t="str">
        <f t="shared" si="81"/>
        <v>85,1706299757829-85,3613026866973i</v>
      </c>
      <c r="AQ74">
        <f t="shared" si="82"/>
        <v>41.625819752863308</v>
      </c>
      <c r="AR74" s="43">
        <f t="shared" si="83"/>
        <v>-45.064062705914324</v>
      </c>
      <c r="AS74" t="str">
        <f t="shared" si="58"/>
        <v>-0,0000166666666666667</v>
      </c>
      <c r="AT74" t="str">
        <f t="shared" si="59"/>
        <v>3,49721250970627E-07i</v>
      </c>
      <c r="AU74">
        <f t="shared" si="84"/>
        <v>3.4972125097062698E-7</v>
      </c>
      <c r="AV74">
        <f t="shared" si="85"/>
        <v>1.5707963267948966</v>
      </c>
      <c r="AW74" t="str">
        <f t="shared" si="60"/>
        <v>1+0,00162056178428567i</v>
      </c>
      <c r="AX74">
        <f t="shared" si="86"/>
        <v>1.0000013131093861</v>
      </c>
      <c r="AY74">
        <f t="shared" si="87"/>
        <v>1.6205603656370474E-3</v>
      </c>
      <c r="AZ74" t="str">
        <f t="shared" si="61"/>
        <v>1+0,0752824610699981i</v>
      </c>
      <c r="BA74">
        <f t="shared" si="88"/>
        <v>1.0028297208124397</v>
      </c>
      <c r="BB74">
        <f t="shared" si="89"/>
        <v>7.5140722900173693E-2</v>
      </c>
      <c r="BC74" s="41" t="str">
        <f t="shared" si="90"/>
        <v>-3,51049612748191+47,6626918614793i</v>
      </c>
      <c r="BD74">
        <f t="shared" si="91"/>
        <v>33.587067055360748</v>
      </c>
      <c r="BE74" s="43">
        <f t="shared" si="92"/>
        <v>94.212395022344779</v>
      </c>
      <c r="BF74" s="41" t="str">
        <f t="shared" si="93"/>
        <v>1204,2639585144+1377,08110976865i</v>
      </c>
      <c r="BG74" s="20">
        <f t="shared" si="94"/>
        <v>65.246043341966029</v>
      </c>
      <c r="BH74" s="43">
        <f t="shared" si="95"/>
        <v>48.830150301055866</v>
      </c>
      <c r="BI74" s="41" t="str">
        <f t="shared" si="101"/>
        <v>3769,55830014534+4359,12201470228i</v>
      </c>
      <c r="BJ74" s="20">
        <f t="shared" si="97"/>
        <v>75.21288680822407</v>
      </c>
      <c r="BK74" s="43">
        <f t="shared" si="102"/>
        <v>49.148332316430469</v>
      </c>
      <c r="BL74">
        <f t="shared" si="99"/>
        <v>65.246043341966029</v>
      </c>
      <c r="BM74" s="43">
        <f t="shared" si="100"/>
        <v>48.830150301055866</v>
      </c>
    </row>
    <row r="75" spans="1:65" x14ac:dyDescent="0.25">
      <c r="A75" t="s">
        <v>461</v>
      </c>
      <c r="B75">
        <f>1/(Cout*Resr)</f>
        <v>66137.566137566144</v>
      </c>
      <c r="C75" t="s">
        <v>385</v>
      </c>
      <c r="N75" s="9">
        <v>57</v>
      </c>
      <c r="O75" s="34">
        <f t="shared" si="62"/>
        <v>37.15352290971726</v>
      </c>
      <c r="P75" s="33" t="str">
        <f t="shared" si="50"/>
        <v>54,631621870174</v>
      </c>
      <c r="Q75" s="4" t="str">
        <f t="shared" si="63"/>
        <v>1+1,04206387537401i</v>
      </c>
      <c r="R75" s="4">
        <f t="shared" si="64"/>
        <v>1.4442635217852384</v>
      </c>
      <c r="S75" s="4">
        <f t="shared" si="65"/>
        <v>0.80599395771460725</v>
      </c>
      <c r="T75" s="4" t="str">
        <f t="shared" si="51"/>
        <v>1+0,0035296501351552i</v>
      </c>
      <c r="U75" s="4">
        <f t="shared" si="66"/>
        <v>1.0000062291956369</v>
      </c>
      <c r="V75" s="4">
        <f t="shared" si="67"/>
        <v>3.5296354772983004E-3</v>
      </c>
      <c r="W75" t="str">
        <f t="shared" si="52"/>
        <v>1-0,000928946685511623i</v>
      </c>
      <c r="X75" s="4">
        <f t="shared" si="68"/>
        <v>1.0000004314708792</v>
      </c>
      <c r="Y75" s="4">
        <f t="shared" si="69"/>
        <v>-9.2894641830274167E-4</v>
      </c>
      <c r="Z75" t="str">
        <f t="shared" si="53"/>
        <v>0,999999994478463+0,000127629761228909i</v>
      </c>
      <c r="AA75" s="4">
        <f t="shared" si="70"/>
        <v>1.000000002623141</v>
      </c>
      <c r="AB75" s="4">
        <f t="shared" si="71"/>
        <v>1.2762976124061924E-4</v>
      </c>
      <c r="AC75" s="47" t="str">
        <f t="shared" si="72"/>
        <v>26,2585384383042-27,2279663244295i</v>
      </c>
      <c r="AD75" s="20">
        <f t="shared" si="73"/>
        <v>31.556010860861061</v>
      </c>
      <c r="AE75" s="43">
        <f t="shared" si="74"/>
        <v>-46.038356229845611</v>
      </c>
      <c r="AF75" t="str">
        <f t="shared" si="54"/>
        <v>171,265703090588</v>
      </c>
      <c r="AG75" t="str">
        <f t="shared" si="55"/>
        <v>1+1,03209130591681i</v>
      </c>
      <c r="AH75">
        <f t="shared" si="75"/>
        <v>1.4370847100115798</v>
      </c>
      <c r="AI75">
        <f t="shared" si="76"/>
        <v>0.8011891066562763</v>
      </c>
      <c r="AJ75" t="str">
        <f t="shared" si="56"/>
        <v>1+0,0035296501351552i</v>
      </c>
      <c r="AK75">
        <f t="shared" si="77"/>
        <v>1.0000062291956369</v>
      </c>
      <c r="AL75">
        <f t="shared" si="78"/>
        <v>3.5296354772983004E-3</v>
      </c>
      <c r="AM75" t="str">
        <f t="shared" si="57"/>
        <v>1-0,000293486348662998i</v>
      </c>
      <c r="AN75">
        <f t="shared" si="79"/>
        <v>1.0000000430671174</v>
      </c>
      <c r="AO75">
        <f t="shared" si="80"/>
        <v>-2.9348634023659088E-4</v>
      </c>
      <c r="AP75" s="41" t="str">
        <f t="shared" si="81"/>
        <v>83,205923747509-85,3218666343712i</v>
      </c>
      <c r="AQ75">
        <f t="shared" si="82"/>
        <v>41.523815141855962</v>
      </c>
      <c r="AR75" s="43">
        <f t="shared" si="83"/>
        <v>-45.719336715832867</v>
      </c>
      <c r="AS75" t="str">
        <f t="shared" si="58"/>
        <v>-0,0000166666666666667</v>
      </c>
      <c r="AT75" t="str">
        <f t="shared" si="59"/>
        <v>3,57867305369901E-07i</v>
      </c>
      <c r="AU75">
        <f t="shared" si="84"/>
        <v>3.5786730536990101E-7</v>
      </c>
      <c r="AV75">
        <f t="shared" si="85"/>
        <v>1.5707963267948966</v>
      </c>
      <c r="AW75" t="str">
        <f t="shared" si="60"/>
        <v>1+0,00165830951741752i</v>
      </c>
      <c r="AX75">
        <f t="shared" si="86"/>
        <v>1.0000013749942824</v>
      </c>
      <c r="AY75">
        <f t="shared" si="87"/>
        <v>1.6583079973082465E-3</v>
      </c>
      <c r="AZ75" t="str">
        <f t="shared" si="61"/>
        <v>1+0,0770360148545777i</v>
      </c>
      <c r="BA75">
        <f t="shared" si="88"/>
        <v>1.0029628844502048</v>
      </c>
      <c r="BB75">
        <f t="shared" si="89"/>
        <v>7.6884163890398899E-2</v>
      </c>
      <c r="BC75" s="41" t="str">
        <f t="shared" si="90"/>
        <v>-3,51049569298914+46,5780185474363i</v>
      </c>
      <c r="BD75">
        <f t="shared" si="91"/>
        <v>33.388219822180815</v>
      </c>
      <c r="BE75" s="43">
        <f t="shared" si="92"/>
        <v>94.310124052933418</v>
      </c>
      <c r="BF75" s="41" t="str">
        <f t="shared" si="93"/>
        <v>1176,04423437639+1318,65434891867i</v>
      </c>
      <c r="BG75" s="20">
        <f t="shared" si="94"/>
        <v>64.944230683041894</v>
      </c>
      <c r="BH75" s="43">
        <f t="shared" si="95"/>
        <v>48.271767823087956</v>
      </c>
      <c r="BI75" s="41" t="str">
        <f t="shared" si="101"/>
        <v>3682,02944965082+4175,0891049058i</v>
      </c>
      <c r="BJ75" s="20">
        <f t="shared" si="97"/>
        <v>74.912034964036778</v>
      </c>
      <c r="BK75" s="43">
        <f t="shared" si="102"/>
        <v>48.590787337100529</v>
      </c>
      <c r="BL75">
        <f t="shared" si="99"/>
        <v>64.944230683041894</v>
      </c>
      <c r="BM75" s="43">
        <f t="shared" si="100"/>
        <v>48.271767823087956</v>
      </c>
    </row>
    <row r="76" spans="1:65" x14ac:dyDescent="0.25">
      <c r="B76">
        <f>B75/(2*PI())</f>
        <v>10526.120574860804</v>
      </c>
      <c r="C76" t="s">
        <v>65</v>
      </c>
      <c r="N76" s="9">
        <v>58</v>
      </c>
      <c r="O76" s="34">
        <f t="shared" si="62"/>
        <v>38.018939632056139</v>
      </c>
      <c r="P76" s="33" t="str">
        <f t="shared" si="50"/>
        <v>54,631621870174</v>
      </c>
      <c r="Q76" s="4" t="str">
        <f t="shared" si="63"/>
        <v>1+1,06633666117915i</v>
      </c>
      <c r="R76" s="4">
        <f t="shared" si="64"/>
        <v>1.461873412773725</v>
      </c>
      <c r="S76" s="4">
        <f t="shared" si="65"/>
        <v>0.81749065194018478</v>
      </c>
      <c r="T76" s="4" t="str">
        <f t="shared" si="51"/>
        <v>1+0,00361186624850713i</v>
      </c>
      <c r="U76" s="4">
        <f t="shared" si="66"/>
        <v>1.0000065227676254</v>
      </c>
      <c r="V76" s="4">
        <f t="shared" si="67"/>
        <v>3.6118505423360214E-3</v>
      </c>
      <c r="W76" t="str">
        <f t="shared" si="52"/>
        <v>1-0,000950584633486477i</v>
      </c>
      <c r="X76" s="4">
        <f t="shared" si="68"/>
        <v>1.0000004518054706</v>
      </c>
      <c r="Y76" s="4">
        <f t="shared" si="69"/>
        <v>-9.5058434716700909E-4</v>
      </c>
      <c r="Z76" t="str">
        <f t="shared" si="53"/>
        <v>0,999999994218241+0,000130602640272009i</v>
      </c>
      <c r="AA76" s="4">
        <f t="shared" si="70"/>
        <v>1.0000000027467657</v>
      </c>
      <c r="AB76" s="4">
        <f t="shared" si="71"/>
        <v>1.3060264028455675E-4</v>
      </c>
      <c r="AC76" s="47" t="str">
        <f t="shared" si="72"/>
        <v>25,6328313709059-27,1949727498942i</v>
      </c>
      <c r="AD76" s="20">
        <f t="shared" si="73"/>
        <v>31.450747079444966</v>
      </c>
      <c r="AE76" s="43">
        <f t="shared" si="74"/>
        <v>-46.693767806508362</v>
      </c>
      <c r="AF76" t="str">
        <f t="shared" si="54"/>
        <v>171,265703090588</v>
      </c>
      <c r="AG76" t="str">
        <f t="shared" si="55"/>
        <v>1+1,05613180073856i</v>
      </c>
      <c r="AH76">
        <f t="shared" si="75"/>
        <v>1.454446417208717</v>
      </c>
      <c r="AI76">
        <f t="shared" si="76"/>
        <v>0.81269109394993266</v>
      </c>
      <c r="AJ76" t="str">
        <f t="shared" si="56"/>
        <v>1+0,00361186624850713i</v>
      </c>
      <c r="AK76">
        <f t="shared" si="77"/>
        <v>1.0000065227676254</v>
      </c>
      <c r="AL76">
        <f t="shared" si="78"/>
        <v>3.6118505423360214E-3</v>
      </c>
      <c r="AM76" t="str">
        <f t="shared" si="57"/>
        <v>1-0,000300322523916911i</v>
      </c>
      <c r="AN76">
        <f t="shared" si="79"/>
        <v>1.0000000450968081</v>
      </c>
      <c r="AO76">
        <f t="shared" si="80"/>
        <v>-3.0032251488785311E-4</v>
      </c>
      <c r="AP76" s="41" t="str">
        <f t="shared" si="81"/>
        <v>81,2440719324148-85,2372941250072i</v>
      </c>
      <c r="AQ76">
        <f t="shared" si="82"/>
        <v>41.419510559812068</v>
      </c>
      <c r="AR76" s="43">
        <f t="shared" si="83"/>
        <v>-46.374033151488959</v>
      </c>
      <c r="AS76" t="str">
        <f t="shared" si="58"/>
        <v>-0,0000166666666666667</v>
      </c>
      <c r="AT76" t="str">
        <f t="shared" si="59"/>
        <v>3,66203105751417E-07i</v>
      </c>
      <c r="AU76">
        <f t="shared" si="84"/>
        <v>3.6620310575141698E-7</v>
      </c>
      <c r="AV76">
        <f t="shared" si="85"/>
        <v>1.5707963267948966</v>
      </c>
      <c r="AW76" t="str">
        <f t="shared" si="60"/>
        <v>1+0,00169693650820583i</v>
      </c>
      <c r="AX76">
        <f t="shared" si="86"/>
        <v>1.00000143979572</v>
      </c>
      <c r="AY76">
        <f t="shared" si="87"/>
        <v>1.696934879379524E-3</v>
      </c>
      <c r="AZ76" t="str">
        <f t="shared" si="61"/>
        <v>1+0,0788304141539254i</v>
      </c>
      <c r="BA76">
        <f t="shared" si="88"/>
        <v>1.0031023049498389</v>
      </c>
      <c r="BB76">
        <f t="shared" si="89"/>
        <v>7.8667730080229079E-2</v>
      </c>
      <c r="BC76" s="41" t="str">
        <f t="shared" si="90"/>
        <v>-3,51049523801947+45,5180415152921i</v>
      </c>
      <c r="BD76">
        <f t="shared" si="91"/>
        <v>33.189426589056758</v>
      </c>
      <c r="BE76" s="43">
        <f t="shared" si="92"/>
        <v>94.410101710774484</v>
      </c>
      <c r="BF76" s="41" t="str">
        <f t="shared" si="93"/>
        <v>1147,8779661724+1262,22410483195i</v>
      </c>
      <c r="BG76" s="20">
        <f t="shared" si="94"/>
        <v>64.640173668501731</v>
      </c>
      <c r="BH76" s="43">
        <f t="shared" si="95"/>
        <v>47.716333904266151</v>
      </c>
      <c r="BI76" s="41" t="str">
        <f t="shared" si="101"/>
        <v>3594,62776499719+3997,29615421854i</v>
      </c>
      <c r="BJ76" s="20">
        <f t="shared" si="97"/>
        <v>74.608937148868833</v>
      </c>
      <c r="BK76" s="43">
        <f t="shared" si="102"/>
        <v>48.036068559285525</v>
      </c>
      <c r="BL76">
        <f t="shared" si="99"/>
        <v>64.640173668501731</v>
      </c>
      <c r="BM76" s="43">
        <f t="shared" si="100"/>
        <v>47.716333904266151</v>
      </c>
    </row>
    <row r="77" spans="1:65" x14ac:dyDescent="0.25">
      <c r="A77" t="s">
        <v>462</v>
      </c>
      <c r="B77">
        <f>2*Fsw/(DC_VIN_var_DCM)</f>
        <v>795411.67866840598</v>
      </c>
      <c r="C77" t="s">
        <v>385</v>
      </c>
      <c r="N77" s="9">
        <v>59</v>
      </c>
      <c r="O77" s="34">
        <f t="shared" si="62"/>
        <v>38.904514499428053</v>
      </c>
      <c r="P77" s="33" t="str">
        <f t="shared" si="50"/>
        <v>54,631621870174</v>
      </c>
      <c r="Q77" s="4" t="str">
        <f t="shared" si="63"/>
        <v>1+1,09117483279668i</v>
      </c>
      <c r="R77" s="4">
        <f t="shared" si="64"/>
        <v>1.4800886850891275</v>
      </c>
      <c r="S77" s="4">
        <f t="shared" si="65"/>
        <v>0.82897038147762758</v>
      </c>
      <c r="T77" s="4" t="str">
        <f t="shared" si="51"/>
        <v>1+0,00369599742115272i</v>
      </c>
      <c r="U77" s="4">
        <f t="shared" si="66"/>
        <v>1.000006830175143</v>
      </c>
      <c r="V77" s="4">
        <f t="shared" si="67"/>
        <v>3.6959805916933742E-3</v>
      </c>
      <c r="W77" t="str">
        <f t="shared" si="52"/>
        <v>1-0,000972726594016481i</v>
      </c>
      <c r="X77" s="4">
        <f t="shared" si="68"/>
        <v>1.0000004730984013</v>
      </c>
      <c r="Y77" s="4">
        <f t="shared" si="69"/>
        <v>-9.7272628721965153E-4</v>
      </c>
      <c r="Z77" t="str">
        <f t="shared" si="53"/>
        <v>0,999999993945755+0,000133644766563711i</v>
      </c>
      <c r="AA77" s="4">
        <f t="shared" si="70"/>
        <v>1.0000000028762168</v>
      </c>
      <c r="AB77" s="4">
        <f t="shared" si="71"/>
        <v>1.3364476657715617E-4</v>
      </c>
      <c r="AC77" s="47" t="str">
        <f t="shared" si="72"/>
        <v>25,0089694647368-27,1476826303389i</v>
      </c>
      <c r="AD77" s="20">
        <f t="shared" si="73"/>
        <v>31.343190514450168</v>
      </c>
      <c r="AE77" s="43">
        <f t="shared" si="74"/>
        <v>-47.348130502909477</v>
      </c>
      <c r="AF77" t="str">
        <f t="shared" si="54"/>
        <v>171,265703090588</v>
      </c>
      <c r="AG77" t="str">
        <f t="shared" si="55"/>
        <v>1+1,08073227062063i</v>
      </c>
      <c r="AH77">
        <f t="shared" si="75"/>
        <v>1.4724069548738292</v>
      </c>
      <c r="AI77">
        <f t="shared" si="76"/>
        <v>0.82417864271527819</v>
      </c>
      <c r="AJ77" t="str">
        <f t="shared" si="56"/>
        <v>1+0,00369599742115272i</v>
      </c>
      <c r="AK77">
        <f t="shared" si="77"/>
        <v>1.000006830175143</v>
      </c>
      <c r="AL77">
        <f t="shared" si="78"/>
        <v>3.6959805916933742E-3</v>
      </c>
      <c r="AM77" t="str">
        <f t="shared" si="57"/>
        <v>1-0,000307317934148245i</v>
      </c>
      <c r="AN77">
        <f t="shared" si="79"/>
        <v>1.0000000472221551</v>
      </c>
      <c r="AO77">
        <f t="shared" si="80"/>
        <v>-3.0731792447343524E-4</v>
      </c>
      <c r="AP77" s="41" t="str">
        <f t="shared" si="81"/>
        <v>79,2871422630232-85,1078087140475i</v>
      </c>
      <c r="AQ77">
        <f t="shared" si="82"/>
        <v>41.312910568709391</v>
      </c>
      <c r="AR77" s="43">
        <f t="shared" si="83"/>
        <v>-47.027801723380783</v>
      </c>
      <c r="AS77" t="str">
        <f t="shared" si="58"/>
        <v>-0,0000166666666666667</v>
      </c>
      <c r="AT77" t="str">
        <f t="shared" si="59"/>
        <v>3,74733071866872E-07i</v>
      </c>
      <c r="AU77">
        <f t="shared" si="84"/>
        <v>3.7473307186687198E-7</v>
      </c>
      <c r="AV77">
        <f t="shared" si="85"/>
        <v>1.5707963267948966</v>
      </c>
      <c r="AW77" t="str">
        <f t="shared" si="60"/>
        <v>1+0,0017364632371924i</v>
      </c>
      <c r="AX77">
        <f t="shared" si="86"/>
        <v>1.0000015076511506</v>
      </c>
      <c r="AY77">
        <f t="shared" si="87"/>
        <v>1.7364614918737103E-3</v>
      </c>
      <c r="AZ77" t="str">
        <f t="shared" si="61"/>
        <v>1+0,0806666103823015i</v>
      </c>
      <c r="BA77">
        <f t="shared" si="88"/>
        <v>1.003248275368849</v>
      </c>
      <c r="BB77">
        <f t="shared" si="89"/>
        <v>8.0492321724974072E-2</v>
      </c>
      <c r="BC77" s="41" t="str">
        <f t="shared" si="90"/>
        <v>-3,51049476160789+44,4821987511893i</v>
      </c>
      <c r="BD77">
        <f t="shared" si="91"/>
        <v>32.990689869471737</v>
      </c>
      <c r="BE77" s="43">
        <f t="shared" si="92"/>
        <v>94.512378403278831</v>
      </c>
      <c r="BF77" s="41" t="str">
        <f t="shared" si="93"/>
        <v>1119,79475809777+1207,75574795644i</v>
      </c>
      <c r="BG77" s="20">
        <f t="shared" si="94"/>
        <v>64.333880383921866</v>
      </c>
      <c r="BH77" s="43">
        <f t="shared" si="95"/>
        <v>47.164247900369354</v>
      </c>
      <c r="BI77" s="41" t="str">
        <f t="shared" si="101"/>
        <v>3507,44536491926+3825,63693722021i</v>
      </c>
      <c r="BJ77" s="20">
        <f t="shared" si="97"/>
        <v>74.303600438181121</v>
      </c>
      <c r="BK77" s="43">
        <f t="shared" si="102"/>
        <v>47.484576679898055</v>
      </c>
      <c r="BL77">
        <f t="shared" si="99"/>
        <v>64.333880383921866</v>
      </c>
      <c r="BM77" s="43">
        <f t="shared" si="100"/>
        <v>47.164247900369354</v>
      </c>
    </row>
    <row r="78" spans="1:65" x14ac:dyDescent="0.25">
      <c r="B78">
        <f>B77/(2*PI())</f>
        <v>126593.7004530991</v>
      </c>
      <c r="C78" t="s">
        <v>65</v>
      </c>
      <c r="N78" s="9">
        <v>60</v>
      </c>
      <c r="O78" s="34">
        <f t="shared" si="62"/>
        <v>39.810717055349755</v>
      </c>
      <c r="P78" s="33" t="str">
        <f t="shared" si="50"/>
        <v>54,631621870174</v>
      </c>
      <c r="Q78" s="4" t="str">
        <f t="shared" si="63"/>
        <v>1+1,11659155975396i</v>
      </c>
      <c r="R78" s="4">
        <f t="shared" si="64"/>
        <v>1.4989251853624252</v>
      </c>
      <c r="S78" s="4">
        <f t="shared" si="65"/>
        <v>0.84042713127966118</v>
      </c>
      <c r="T78" s="4" t="str">
        <f t="shared" si="51"/>
        <v>1+0,00378208826055331i</v>
      </c>
      <c r="U78" s="4">
        <f t="shared" si="66"/>
        <v>1.0000071520702292</v>
      </c>
      <c r="V78" s="4">
        <f t="shared" si="67"/>
        <v>3.78207022746969E-3</v>
      </c>
      <c r="W78" t="str">
        <f t="shared" si="52"/>
        <v>1-0,000995384307062189i</v>
      </c>
      <c r="X78" s="4">
        <f t="shared" si="68"/>
        <v>1.0000004953948367</v>
      </c>
      <c r="Y78" s="4">
        <f t="shared" si="69"/>
        <v>-9.9538397832347222E-4</v>
      </c>
      <c r="Z78" t="str">
        <f t="shared" si="53"/>
        <v>0,999999993660427+0,000136757753079642i</v>
      </c>
      <c r="AA78" s="4">
        <f t="shared" si="70"/>
        <v>1.0000000030117684</v>
      </c>
      <c r="AB78" s="4">
        <f t="shared" si="71"/>
        <v>1.3675775309404878E-4</v>
      </c>
      <c r="AC78" s="47" t="str">
        <f t="shared" si="72"/>
        <v>24,3876026009266-27,0862203979952i</v>
      </c>
      <c r="AD78" s="20">
        <f t="shared" si="73"/>
        <v>31.233349138135775</v>
      </c>
      <c r="AE78" s="43">
        <f t="shared" si="74"/>
        <v>-48.001097891776688</v>
      </c>
      <c r="AF78" t="str">
        <f t="shared" si="54"/>
        <v>171,265703090588</v>
      </c>
      <c r="AG78" t="str">
        <f t="shared" si="55"/>
        <v>1+1,10590575905775i</v>
      </c>
      <c r="AH78">
        <f t="shared" si="75"/>
        <v>1.4909820749818214</v>
      </c>
      <c r="AI78">
        <f t="shared" si="76"/>
        <v>0.83564571731619686</v>
      </c>
      <c r="AJ78" t="str">
        <f t="shared" si="56"/>
        <v>1+0,00378208826055331i</v>
      </c>
      <c r="AK78">
        <f t="shared" si="77"/>
        <v>1.0000071520702292</v>
      </c>
      <c r="AL78">
        <f t="shared" si="78"/>
        <v>3.78207022746969E-3</v>
      </c>
      <c r="AM78" t="str">
        <f t="shared" si="57"/>
        <v>1-0,000314476288416096i</v>
      </c>
      <c r="AN78">
        <f t="shared" si="79"/>
        <v>1.0000000494476666</v>
      </c>
      <c r="AO78">
        <f t="shared" si="80"/>
        <v>-3.1447627804935058E-4</v>
      </c>
      <c r="AP78" s="41" t="str">
        <f t="shared" si="81"/>
        <v>77,3371817113987-84,9337516414781i</v>
      </c>
      <c r="AQ78">
        <f t="shared" si="82"/>
        <v>41.20402214170872</v>
      </c>
      <c r="AR78" s="43">
        <f t="shared" si="83"/>
        <v>-47.68029427203345</v>
      </c>
      <c r="AS78" t="str">
        <f t="shared" si="58"/>
        <v>-0,0000166666666666667</v>
      </c>
      <c r="AT78" t="str">
        <f t="shared" si="59"/>
        <v>3,83461726417211E-07i</v>
      </c>
      <c r="AU78">
        <f t="shared" si="84"/>
        <v>3.8346172641721098E-7</v>
      </c>
      <c r="AV78">
        <f t="shared" si="85"/>
        <v>1.5707963267948966</v>
      </c>
      <c r="AW78" t="str">
        <f t="shared" si="60"/>
        <v>1+0,00177691066197213i</v>
      </c>
      <c r="AX78">
        <f t="shared" si="86"/>
        <v>1.0000015787045042</v>
      </c>
      <c r="AY78">
        <f t="shared" si="87"/>
        <v>1.7769087918296197E-3</v>
      </c>
      <c r="AZ78" t="str">
        <f t="shared" si="61"/>
        <v>1+0,0825455771152508i</v>
      </c>
      <c r="BA78">
        <f t="shared" si="88"/>
        <v>1.003401102401871</v>
      </c>
      <c r="BB78">
        <f t="shared" si="89"/>
        <v>8.2358857625676393E-2</v>
      </c>
      <c r="BC78" s="41" t="str">
        <f t="shared" si="90"/>
        <v>-3,51049426274382+43,4699410375774i</v>
      </c>
      <c r="BD78">
        <f t="shared" si="91"/>
        <v>32.792012292359601</v>
      </c>
      <c r="BE78" s="43">
        <f t="shared" si="92"/>
        <v>94.617005573118576</v>
      </c>
      <c r="BF78" s="41" t="str">
        <f t="shared" si="93"/>
        <v>1091,82386461905+1155,21366841673i</v>
      </c>
      <c r="BG78" s="20">
        <f t="shared" si="94"/>
        <v>64.025361430495408</v>
      </c>
      <c r="BH78" s="43">
        <f t="shared" si="95"/>
        <v>46.615907681341959</v>
      </c>
      <c r="BI78" s="41" t="str">
        <f t="shared" si="101"/>
        <v>3420,57344326065+3660,00217685763i</v>
      </c>
      <c r="BJ78" s="20">
        <f t="shared" si="97"/>
        <v>73.996034434068306</v>
      </c>
      <c r="BK78" s="43">
        <f t="shared" si="102"/>
        <v>46.936711301085168</v>
      </c>
      <c r="BL78">
        <f t="shared" si="99"/>
        <v>64.025361430495408</v>
      </c>
      <c r="BM78" s="43">
        <f t="shared" si="100"/>
        <v>46.615907681341959</v>
      </c>
    </row>
    <row r="79" spans="1:65" x14ac:dyDescent="0.25">
      <c r="N79" s="9">
        <v>61</v>
      </c>
      <c r="O79" s="34">
        <f t="shared" si="62"/>
        <v>40.738027780411279</v>
      </c>
      <c r="P79" s="33" t="str">
        <f t="shared" si="50"/>
        <v>54,631621870174</v>
      </c>
      <c r="Q79" s="4" t="str">
        <f t="shared" si="63"/>
        <v>1+1,14260031833607i</v>
      </c>
      <c r="R79" s="4">
        <f t="shared" si="64"/>
        <v>1.5183989882312516</v>
      </c>
      <c r="S79" s="4">
        <f t="shared" si="65"/>
        <v>0.851854946612431</v>
      </c>
      <c r="T79" s="4" t="str">
        <f t="shared" si="51"/>
        <v>1+0,00387018441321151i</v>
      </c>
      <c r="U79" s="4">
        <f t="shared" si="66"/>
        <v>1.0000074891356525</v>
      </c>
      <c r="V79" s="4">
        <f t="shared" si="67"/>
        <v>3.8701650904220939E-3</v>
      </c>
      <c r="W79" t="str">
        <f t="shared" si="52"/>
        <v>1-0,00101856978604297i</v>
      </c>
      <c r="X79" s="4">
        <f t="shared" si="68"/>
        <v>1.00000051874207</v>
      </c>
      <c r="Y79" s="4">
        <f t="shared" si="69"/>
        <v>-1.0185694337930984E-3</v>
      </c>
      <c r="Z79" t="str">
        <f t="shared" si="53"/>
        <v>0,999999993361652+0,00013994325036646i</v>
      </c>
      <c r="AA79" s="4">
        <f t="shared" si="70"/>
        <v>1.0000000031537086</v>
      </c>
      <c r="AB79" s="4">
        <f t="shared" si="71"/>
        <v>1.3994325038189717E-4</v>
      </c>
      <c r="AC79" s="47" t="str">
        <f t="shared" si="72"/>
        <v>23,7693702098895-27,0107469952809i</v>
      </c>
      <c r="AD79" s="20">
        <f t="shared" si="73"/>
        <v>31.121233289485083</v>
      </c>
      <c r="AE79" s="43">
        <f t="shared" si="74"/>
        <v>-48.652326959849937</v>
      </c>
      <c r="AF79" t="str">
        <f t="shared" si="54"/>
        <v>171,265703090588</v>
      </c>
      <c r="AG79" t="str">
        <f t="shared" si="55"/>
        <v>1+1,13166561336673i</v>
      </c>
      <c r="AH79">
        <f t="shared" si="75"/>
        <v>1.5101877566967286</v>
      </c>
      <c r="AI79">
        <f t="shared" si="76"/>
        <v>0.84708633595591809</v>
      </c>
      <c r="AJ79" t="str">
        <f t="shared" si="56"/>
        <v>1+0,00387018441321151i</v>
      </c>
      <c r="AK79">
        <f t="shared" si="77"/>
        <v>1.0000074891356525</v>
      </c>
      <c r="AL79">
        <f t="shared" si="78"/>
        <v>3.8701650904220939E-3</v>
      </c>
      <c r="AM79" t="str">
        <f t="shared" si="57"/>
        <v>1-0,000321801382174653i</v>
      </c>
      <c r="AN79">
        <f t="shared" si="79"/>
        <v>1.0000000517780634</v>
      </c>
      <c r="AO79">
        <f t="shared" si="80"/>
        <v>-3.2180137106648513E-4</v>
      </c>
      <c r="AP79" s="41" t="str">
        <f t="shared" si="81"/>
        <v>75,3962079893309-84,7155796451265i</v>
      </c>
      <c r="AQ79">
        <f t="shared" si="82"/>
        <v>41.092854633845519</v>
      </c>
      <c r="AR79" s="43">
        <f t="shared" si="83"/>
        <v>-48.331165668178656</v>
      </c>
      <c r="AS79" t="str">
        <f t="shared" si="58"/>
        <v>-0,0000166666666666667</v>
      </c>
      <c r="AT79" t="str">
        <f t="shared" si="59"/>
        <v>3,92393697450612E-07i</v>
      </c>
      <c r="AU79">
        <f t="shared" si="84"/>
        <v>3.92393697450612E-7</v>
      </c>
      <c r="AV79">
        <f t="shared" si="85"/>
        <v>1.5707963267948966</v>
      </c>
      <c r="AW79" t="str">
        <f t="shared" si="60"/>
        <v>1+0,00181830022830504i</v>
      </c>
      <c r="AX79">
        <f t="shared" si="86"/>
        <v>1.0000016531064937</v>
      </c>
      <c r="AY79">
        <f t="shared" si="87"/>
        <v>1.8182982244114155E-3</v>
      </c>
      <c r="AZ79" t="str">
        <f t="shared" si="61"/>
        <v>1+0,0844683106058068i</v>
      </c>
      <c r="BA79">
        <f t="shared" si="88"/>
        <v>1.0035611070067427</v>
      </c>
      <c r="BB79">
        <f t="shared" si="89"/>
        <v>8.4268275391961578E-2</v>
      </c>
      <c r="BC79" s="41" t="str">
        <f t="shared" si="90"/>
        <v>-3,51049374036919+42,4807316620131i</v>
      </c>
      <c r="BD79">
        <f t="shared" si="91"/>
        <v>32.593396607260871</v>
      </c>
      <c r="BE79" s="43">
        <f t="shared" si="92"/>
        <v>94.724035712650618</v>
      </c>
      <c r="BF79" s="41" t="str">
        <f t="shared" si="93"/>
        <v>1063,99406976272+1104,56129591099i</v>
      </c>
      <c r="BG79" s="20">
        <f t="shared" si="94"/>
        <v>63.71462989674594</v>
      </c>
      <c r="BH79" s="43">
        <f t="shared" si="95"/>
        <v>46.071708752800596</v>
      </c>
      <c r="BI79" s="41" t="str">
        <f t="shared" si="101"/>
        <v>3334,1018903024+3500,27959198406i</v>
      </c>
      <c r="BJ79" s="20">
        <f t="shared" si="97"/>
        <v>73.68625124110639</v>
      </c>
      <c r="BK79" s="43">
        <f t="shared" si="102"/>
        <v>46.392870044471969</v>
      </c>
      <c r="BL79">
        <f t="shared" si="99"/>
        <v>63.71462989674594</v>
      </c>
      <c r="BM79" s="43">
        <f t="shared" si="100"/>
        <v>46.071708752800596</v>
      </c>
    </row>
    <row r="80" spans="1:65" x14ac:dyDescent="0.25">
      <c r="N80" s="9">
        <v>62</v>
      </c>
      <c r="O80" s="34">
        <f t="shared" si="62"/>
        <v>41.686938347033561</v>
      </c>
      <c r="P80" s="33" t="str">
        <f t="shared" si="50"/>
        <v>54,631621870174</v>
      </c>
      <c r="Q80" s="4" t="str">
        <f t="shared" si="63"/>
        <v>1+1,16921489873106i</v>
      </c>
      <c r="R80" s="4">
        <f t="shared" si="64"/>
        <v>1.538526398673316</v>
      </c>
      <c r="S80" s="4">
        <f t="shared" si="65"/>
        <v>0.86324794827219242</v>
      </c>
      <c r="T80" s="4" t="str">
        <f t="shared" si="51"/>
        <v>1+0,00396033258887355i</v>
      </c>
      <c r="U80" s="4">
        <f t="shared" si="66"/>
        <v>1.0000078420863581</v>
      </c>
      <c r="V80" s="4">
        <f t="shared" si="67"/>
        <v>3.9603118841404286E-3</v>
      </c>
      <c r="W80" t="str">
        <f t="shared" si="52"/>
        <v>1-0,00104229532420668i</v>
      </c>
      <c r="X80" s="4">
        <f t="shared" si="68"/>
        <v>1.0000005431896239</v>
      </c>
      <c r="Y80" s="4">
        <f t="shared" si="69"/>
        <v>-1.0422949467641534E-3</v>
      </c>
      <c r="Z80" t="str">
        <f t="shared" si="53"/>
        <v>0,999999993048797+0,00014320294741699i</v>
      </c>
      <c r="AA80" s="4">
        <f t="shared" si="70"/>
        <v>1.0000000033023393</v>
      </c>
      <c r="AB80" s="4">
        <f t="shared" si="71"/>
        <v>1.4320294743353114E-4</v>
      </c>
      <c r="AC80" s="47" t="str">
        <f t="shared" si="72"/>
        <v>23,1548986822813-26,9214588531623i</v>
      </c>
      <c r="AD80" s="20">
        <f t="shared" si="73"/>
        <v>31.006855631086829</v>
      </c>
      <c r="AE80" s="43">
        <f t="shared" si="74"/>
        <v>-49.301478978766731</v>
      </c>
      <c r="AF80" t="str">
        <f t="shared" si="54"/>
        <v>171,265703090588</v>
      </c>
      <c r="AG80" t="str">
        <f t="shared" si="55"/>
        <v>1+1,15802549176328i</v>
      </c>
      <c r="AH80">
        <f t="shared" si="75"/>
        <v>1.5300402084826354</v>
      </c>
      <c r="AI80">
        <f t="shared" si="76"/>
        <v>0.85849458606575058</v>
      </c>
      <c r="AJ80" t="str">
        <f t="shared" si="56"/>
        <v>1+0,00396033258887355i</v>
      </c>
      <c r="AK80">
        <f t="shared" si="77"/>
        <v>1.0000078420863581</v>
      </c>
      <c r="AL80">
        <f t="shared" si="78"/>
        <v>3.9603118841404286E-3</v>
      </c>
      <c r="AM80" t="str">
        <f t="shared" si="57"/>
        <v>1-0,000329297099285584i</v>
      </c>
      <c r="AN80">
        <f t="shared" si="79"/>
        <v>1.0000000542182883</v>
      </c>
      <c r="AO80">
        <f t="shared" si="80"/>
        <v>-3.2929708738296771E-4</v>
      </c>
      <c r="AP80" s="41" t="str">
        <f t="shared" si="81"/>
        <v>73,4662013084405-84,4538620521157i</v>
      </c>
      <c r="AQ80">
        <f t="shared" si="82"/>
        <v>40.97941974291097</v>
      </c>
      <c r="AR80" s="43">
        <f t="shared" si="83"/>
        <v>-48.980074693194339</v>
      </c>
      <c r="AS80" t="str">
        <f t="shared" si="58"/>
        <v>-0,0000166666666666667</v>
      </c>
      <c r="AT80" t="str">
        <f t="shared" si="59"/>
        <v>4,01533720816345E-07i</v>
      </c>
      <c r="AU80">
        <f t="shared" si="84"/>
        <v>4.0153372081634501E-7</v>
      </c>
      <c r="AV80">
        <f t="shared" si="85"/>
        <v>1.5707963267948966</v>
      </c>
      <c r="AW80" t="str">
        <f t="shared" si="60"/>
        <v>1+0,00186065388148704i</v>
      </c>
      <c r="AX80">
        <f t="shared" si="86"/>
        <v>1.0000017310149352</v>
      </c>
      <c r="AY80">
        <f t="shared" si="87"/>
        <v>1.8606517342765363E-3</v>
      </c>
      <c r="AZ80" t="str">
        <f t="shared" si="61"/>
        <v>1+0,0864358303127164i</v>
      </c>
      <c r="BA80">
        <f t="shared" si="88"/>
        <v>1.0037286250585109</v>
      </c>
      <c r="BB80">
        <f t="shared" si="89"/>
        <v>8.6221531699417792E-2</v>
      </c>
      <c r="BC80" s="41" t="str">
        <f t="shared" si="90"/>
        <v>-3,51049319337599+41,5140461325854i</v>
      </c>
      <c r="BD80">
        <f t="shared" si="91"/>
        <v>32.394845689693497</v>
      </c>
      <c r="BE80" s="43">
        <f t="shared" si="92"/>
        <v>94.833522378012347</v>
      </c>
      <c r="BF80" s="41" t="str">
        <f t="shared" si="93"/>
        <v>1036,33357056922+1055,76113015134i</v>
      </c>
      <c r="BG80" s="20">
        <f t="shared" si="94"/>
        <v>63.401701320780298</v>
      </c>
      <c r="BH80" s="43">
        <f t="shared" si="95"/>
        <v>45.532043399245495</v>
      </c>
      <c r="BI80" s="41" t="str">
        <f t="shared" si="101"/>
        <v>3248,11892567006+3346,35397819267i</v>
      </c>
      <c r="BJ80" s="20">
        <f t="shared" si="97"/>
        <v>73.37426543260446</v>
      </c>
      <c r="BK80" s="43">
        <f t="shared" si="102"/>
        <v>45.853447684818029</v>
      </c>
      <c r="BL80">
        <f t="shared" si="99"/>
        <v>63.401701320780298</v>
      </c>
      <c r="BM80" s="43">
        <f t="shared" si="100"/>
        <v>45.532043399245495</v>
      </c>
    </row>
    <row r="81" spans="14:65" x14ac:dyDescent="0.25">
      <c r="N81" s="9">
        <v>63</v>
      </c>
      <c r="O81" s="34">
        <f t="shared" si="62"/>
        <v>42.657951880159267</v>
      </c>
      <c r="P81" s="33" t="str">
        <f t="shared" si="50"/>
        <v>54,631621870174</v>
      </c>
      <c r="Q81" s="4" t="str">
        <f t="shared" si="63"/>
        <v>1+1,19644941234174i</v>
      </c>
      <c r="R81" s="4">
        <f t="shared" si="64"/>
        <v>1.5593239548897126</v>
      </c>
      <c r="S81" s="4">
        <f t="shared" si="65"/>
        <v>0.87460034732471703</v>
      </c>
      <c r="T81" s="4" t="str">
        <f t="shared" si="51"/>
        <v>1+0,0040525805852954i</v>
      </c>
      <c r="U81" s="4">
        <f t="shared" si="66"/>
        <v>1.0000082116709843</v>
      </c>
      <c r="V81" s="4">
        <f t="shared" si="67"/>
        <v>4.0525583997839901E-3</v>
      </c>
      <c r="W81" t="str">
        <f t="shared" si="52"/>
        <v>1-0,0010665735011477i</v>
      </c>
      <c r="X81" s="4">
        <f t="shared" si="68"/>
        <v>1.0000005687893549</v>
      </c>
      <c r="Y81" s="4">
        <f t="shared" si="69"/>
        <v>-1.0665730967107587E-3</v>
      </c>
      <c r="Z81" t="str">
        <f t="shared" si="53"/>
        <v>0,999999992721197+0,000146538572565755i</v>
      </c>
      <c r="AA81" s="4">
        <f t="shared" si="70"/>
        <v>1.0000000034579737</v>
      </c>
      <c r="AB81" s="4">
        <f t="shared" si="71"/>
        <v>1.4653857258347912E-4</v>
      </c>
      <c r="AC81" s="47" t="str">
        <f t="shared" si="72"/>
        <v>22,5447988943437-26,8185866553269i</v>
      </c>
      <c r="AD81" s="20">
        <f t="shared" si="73"/>
        <v>30.890231096719969</v>
      </c>
      <c r="AE81" s="43">
        <f t="shared" si="74"/>
        <v>-49.948220348573003</v>
      </c>
      <c r="AF81" t="str">
        <f t="shared" si="54"/>
        <v>171,265703090588</v>
      </c>
      <c r="AG81" t="str">
        <f t="shared" si="55"/>
        <v>1+1,18499937060383i</v>
      </c>
      <c r="AH81">
        <f t="shared" si="75"/>
        <v>1.5505558707545735</v>
      </c>
      <c r="AI81">
        <f t="shared" si="76"/>
        <v>0.86986463925482305</v>
      </c>
      <c r="AJ81" t="str">
        <f t="shared" si="56"/>
        <v>1+0,0040525805852954i</v>
      </c>
      <c r="AK81">
        <f t="shared" si="77"/>
        <v>1.0000082116709843</v>
      </c>
      <c r="AL81">
        <f t="shared" si="78"/>
        <v>4.0525583997839901E-3</v>
      </c>
      <c r="AM81" t="str">
        <f t="shared" si="57"/>
        <v>1-0,000336967414077317i</v>
      </c>
      <c r="AN81">
        <f t="shared" si="79"/>
        <v>1.0000000567735174</v>
      </c>
      <c r="AO81">
        <f t="shared" si="80"/>
        <v>-3.3696740132343393E-4</v>
      </c>
      <c r="AP81" s="41" t="str">
        <f t="shared" si="81"/>
        <v>71,5490964705913-84,1492771827421i</v>
      </c>
      <c r="AQ81">
        <f t="shared" si="82"/>
        <v>40.863731460866674</v>
      </c>
      <c r="AR81" s="43">
        <f t="shared" si="83"/>
        <v>-49.626684894362654</v>
      </c>
      <c r="AS81" t="str">
        <f t="shared" si="58"/>
        <v>-0,0000166666666666667</v>
      </c>
      <c r="AT81" t="str">
        <f t="shared" si="59"/>
        <v>4,10886642675783E-07i</v>
      </c>
      <c r="AU81">
        <f t="shared" si="84"/>
        <v>4.1088664267578299E-7</v>
      </c>
      <c r="AV81">
        <f t="shared" si="85"/>
        <v>1.5707963267948966</v>
      </c>
      <c r="AW81" t="str">
        <f t="shared" si="60"/>
        <v>1+0,00190399407798568i</v>
      </c>
      <c r="AX81">
        <f t="shared" si="86"/>
        <v>1.0000018125950818</v>
      </c>
      <c r="AY81">
        <f t="shared" si="87"/>
        <v>1.9039917772083982E-3</v>
      </c>
      <c r="AZ81" t="str">
        <f t="shared" si="61"/>
        <v>1+0,088449179440971i</v>
      </c>
      <c r="BA81">
        <f t="shared" si="88"/>
        <v>1.0039040080325314</v>
      </c>
      <c r="BB81">
        <f t="shared" si="89"/>
        <v>8.8219602540614478E-2</v>
      </c>
      <c r="BC81" s="41" t="str">
        <f t="shared" si="90"/>
        <v>-3,51049262060394+40,5693718998246i</v>
      </c>
      <c r="BD81">
        <f t="shared" si="91"/>
        <v>32.196362546748333</v>
      </c>
      <c r="BE81" s="43">
        <f t="shared" si="92"/>
        <v>94.94552020283713</v>
      </c>
      <c r="BF81" s="41" t="str">
        <f t="shared" si="93"/>
        <v>1008,86986569604+1008,77478129994i</v>
      </c>
      <c r="BG81" s="20">
        <f t="shared" si="94"/>
        <v>63.086593643468333</v>
      </c>
      <c r="BH81" s="43">
        <f t="shared" si="95"/>
        <v>44.997299854264142</v>
      </c>
      <c r="BI81" s="41" t="str">
        <f t="shared" si="101"/>
        <v>3162,7107459572+3198,10732039102i</v>
      </c>
      <c r="BJ81" s="20">
        <f t="shared" si="97"/>
        <v>73.060094007615007</v>
      </c>
      <c r="BK81" s="43">
        <f t="shared" si="102"/>
        <v>45.318835308474497</v>
      </c>
      <c r="BL81">
        <f t="shared" si="99"/>
        <v>63.086593643468333</v>
      </c>
      <c r="BM81" s="43">
        <f t="shared" si="100"/>
        <v>44.997299854264142</v>
      </c>
    </row>
    <row r="82" spans="14:65" x14ac:dyDescent="0.25">
      <c r="N82" s="9">
        <v>64</v>
      </c>
      <c r="O82" s="34">
        <f t="shared" si="62"/>
        <v>43.651583224016633</v>
      </c>
      <c r="P82" s="33" t="str">
        <f t="shared" si="50"/>
        <v>54,631621870174</v>
      </c>
      <c r="Q82" s="4" t="str">
        <f t="shared" si="63"/>
        <v>1+1,22431829926773i</v>
      </c>
      <c r="R82" s="4">
        <f t="shared" si="64"/>
        <v>1.5808084317594675</v>
      </c>
      <c r="S82" s="4">
        <f t="shared" si="65"/>
        <v>0.88590645927980149</v>
      </c>
      <c r="T82" s="4" t="str">
        <f t="shared" si="51"/>
        <v>1+0,00414697731358581i</v>
      </c>
      <c r="U82" s="4">
        <f t="shared" si="66"/>
        <v>1.000008598673451</v>
      </c>
      <c r="V82" s="4">
        <f t="shared" si="67"/>
        <v>4.1469535413930772E-3</v>
      </c>
      <c r="W82" t="str">
        <f t="shared" si="52"/>
        <v>1-0,00109141718947678i</v>
      </c>
      <c r="X82" s="4">
        <f t="shared" si="68"/>
        <v>1.0000005955955633</v>
      </c>
      <c r="Y82" s="4">
        <f t="shared" si="69"/>
        <v>-1.0914167561148036E-3</v>
      </c>
      <c r="Z82" t="str">
        <f t="shared" si="53"/>
        <v>0,999999992378157+0,000149951894405361i</v>
      </c>
      <c r="AA82" s="4">
        <f t="shared" si="70"/>
        <v>1.0000000036209422</v>
      </c>
      <c r="AB82" s="4">
        <f t="shared" si="71"/>
        <v>1.4995189442435283E-4</v>
      </c>
      <c r="AC82" s="47" t="str">
        <f t="shared" si="72"/>
        <v>21,9396638677784-26,702393902496i</v>
      </c>
      <c r="AD82" s="20">
        <f t="shared" si="73"/>
        <v>30.771376830098784</v>
      </c>
      <c r="AE82" s="43">
        <f t="shared" si="74"/>
        <v>-50.592223408847879</v>
      </c>
      <c r="AF82" t="str">
        <f t="shared" si="54"/>
        <v>171,265703090588</v>
      </c>
      <c r="AG82" t="str">
        <f t="shared" si="55"/>
        <v>1+1,212601551796i</v>
      </c>
      <c r="AH82">
        <f t="shared" si="75"/>
        <v>1.5717514190921118</v>
      </c>
      <c r="AI82">
        <f t="shared" si="76"/>
        <v>0.88119076573075505</v>
      </c>
      <c r="AJ82" t="str">
        <f t="shared" si="56"/>
        <v>1+0,00414697731358581i</v>
      </c>
      <c r="AK82">
        <f t="shared" si="77"/>
        <v>1.000008598673451</v>
      </c>
      <c r="AL82">
        <f t="shared" si="78"/>
        <v>4.1469535413930772E-3</v>
      </c>
      <c r="AM82" t="str">
        <f t="shared" si="57"/>
        <v>1-0,000344816393452286i</v>
      </c>
      <c r="AN82">
        <f t="shared" si="79"/>
        <v>1.0000000594491709</v>
      </c>
      <c r="AO82">
        <f t="shared" si="80"/>
        <v>-3.4481637978625411E-4</v>
      </c>
      <c r="AP82" s="41" t="str">
        <f t="shared" si="81"/>
        <v>69,6467753540876-83,8026081087039i</v>
      </c>
      <c r="AQ82">
        <f t="shared" si="82"/>
        <v>40.745806016220889</v>
      </c>
      <c r="AR82" s="43">
        <f t="shared" si="83"/>
        <v>-50.270665409783632</v>
      </c>
      <c r="AS82" t="str">
        <f t="shared" si="58"/>
        <v>-0,0000166666666666667</v>
      </c>
      <c r="AT82" t="str">
        <f t="shared" si="59"/>
        <v>4,20457422071895E-07i</v>
      </c>
      <c r="AU82">
        <f t="shared" si="84"/>
        <v>4.20457422071895E-7</v>
      </c>
      <c r="AV82">
        <f t="shared" si="85"/>
        <v>1.5707963267948966</v>
      </c>
      <c r="AW82" t="str">
        <f t="shared" si="60"/>
        <v>1+0,0019483437973468i</v>
      </c>
      <c r="AX82">
        <f t="shared" si="86"/>
        <v>1.000001898019975</v>
      </c>
      <c r="AY82">
        <f t="shared" si="87"/>
        <v>1.9483413320197783E-3</v>
      </c>
      <c r="AZ82" t="str">
        <f t="shared" si="61"/>
        <v>1+0,0905094254949284i</v>
      </c>
      <c r="BA82">
        <f t="shared" si="88"/>
        <v>1.0040876237178815</v>
      </c>
      <c r="BB82">
        <f t="shared" si="89"/>
        <v>9.0263483468793163E-2</v>
      </c>
      <c r="BC82" s="41" t="str">
        <f t="shared" si="90"/>
        <v>-3,51049202083817+39,6462080849413i</v>
      </c>
      <c r="BD82">
        <f t="shared" si="91"/>
        <v>31.997950322915646</v>
      </c>
      <c r="BE82" s="43">
        <f t="shared" si="92"/>
        <v>95.060084911535071</v>
      </c>
      <c r="BF82" s="41" t="str">
        <f t="shared" si="93"/>
        <v>981,629650076717+963,5630197476i</v>
      </c>
      <c r="BG82" s="20">
        <f t="shared" si="94"/>
        <v>62.76932715301443</v>
      </c>
      <c r="BH82" s="43">
        <f t="shared" si="95"/>
        <v>44.467861502687164</v>
      </c>
      <c r="BI82" s="41" t="str">
        <f t="shared" si="101"/>
        <v>3077,96118998083+3055,41893522435i</v>
      </c>
      <c r="BJ82" s="20">
        <f t="shared" si="97"/>
        <v>72.743756339136525</v>
      </c>
      <c r="BK82" s="43">
        <f t="shared" si="102"/>
        <v>44.789419501751439</v>
      </c>
      <c r="BL82">
        <f t="shared" si="99"/>
        <v>62.76932715301443</v>
      </c>
      <c r="BM82" s="43">
        <f t="shared" si="100"/>
        <v>44.467861502687164</v>
      </c>
    </row>
    <row r="83" spans="14:65" x14ac:dyDescent="0.25">
      <c r="N83" s="9">
        <v>65</v>
      </c>
      <c r="O83" s="34">
        <f t="shared" si="62"/>
        <v>44.668359215096324</v>
      </c>
      <c r="P83" s="33" t="str">
        <f t="shared" ref="P83:P146" si="103">COMPLEX(Adc,0)</f>
        <v>54,631621870174</v>
      </c>
      <c r="Q83" s="4" t="str">
        <f t="shared" ref="Q83:Q146" si="104">IMSUM(COMPLEX(1,0),IMDIV(COMPLEX(0,2*PI()*O83),COMPLEX(wp_lf,0)))</f>
        <v>1+1,25283633596176i</v>
      </c>
      <c r="R83" s="4">
        <f t="shared" si="64"/>
        <v>1.6029968448833851</v>
      </c>
      <c r="S83" s="4">
        <f t="shared" si="65"/>
        <v>0.89716071761985428</v>
      </c>
      <c r="T83" s="4" t="str">
        <f t="shared" ref="T83:T146" si="105">IMSUM(COMPLEX(1,0),IMDIV(COMPLEX(0,2*PI()*O83),COMPLEX(wz_esr,0)))</f>
        <v>1+0,00424357282413963i</v>
      </c>
      <c r="U83" s="4">
        <f t="shared" si="66"/>
        <v>1.0000090039146217</v>
      </c>
      <c r="V83" s="4">
        <f t="shared" si="67"/>
        <v>4.243547351788576E-3</v>
      </c>
      <c r="W83" t="str">
        <f t="shared" ref="W83:W146" si="106">IMSUB(COMPLEX(1,0),IMDIV(COMPLEX(0,2*PI()*O83),COMPLEX(wz_rhp,0)))</f>
        <v>1-0,00111683956164635i</v>
      </c>
      <c r="X83" s="4">
        <f t="shared" si="68"/>
        <v>1.0000006236651087</v>
      </c>
      <c r="Y83" s="4">
        <f t="shared" si="69"/>
        <v>-1.1168390972906416E-3</v>
      </c>
      <c r="Z83" t="str">
        <f t="shared" ref="Z83:Z146" si="107">IMSUM(COMPLEX(1,0),IMDIV(COMPLEX(0,2*PI()*O83),COMPLEX(Q*(wsl/2),0)),IMDIV(IMPOWER(COMPLEX(0,2*PI()*O83),2),IMPOWER(COMPLEX(wsl/2,0),2)))</f>
        <v>0,999999992018951+0,00015344472272423i</v>
      </c>
      <c r="AA83" s="4">
        <f t="shared" si="70"/>
        <v>1.0000000037915924</v>
      </c>
      <c r="AB83" s="4">
        <f t="shared" si="71"/>
        <v>1.5344472274458003E-4</v>
      </c>
      <c r="AC83" s="47" t="str">
        <f t="shared" si="72"/>
        <v>21,3400665823221-26,5731752932861i</v>
      </c>
      <c r="AD83" s="20">
        <f t="shared" si="73"/>
        <v>30.650312115306466</v>
      </c>
      <c r="AE83" s="43">
        <f t="shared" si="74"/>
        <v>-51.233167212796438</v>
      </c>
      <c r="AF83" t="str">
        <f t="shared" ref="AF83:AF146" si="108">COMPLEX($B$72,0)</f>
        <v>171,265703090588</v>
      </c>
      <c r="AG83" t="str">
        <f t="shared" ref="AG83:AG146" si="109">IMSUM(COMPLEX(1,0),IMDIV(COMPLEX(0,2*PI()*O83),COMPLEX(wp_lf_DCM,0)))</f>
        <v>1+1,24084667038162i</v>
      </c>
      <c r="AH83">
        <f t="shared" si="75"/>
        <v>1.593643768035113</v>
      </c>
      <c r="AI83">
        <f t="shared" si="76"/>
        <v>0.89246734810738804</v>
      </c>
      <c r="AJ83" t="str">
        <f t="shared" ref="AJ83:AJ146" si="110">IMSUM(COMPLEX(1,0),IMDIV(COMPLEX(0,2*PI()*O83),COMPLEX(wz1_dcm,0)))</f>
        <v>1+0,00424357282413963i</v>
      </c>
      <c r="AK83">
        <f t="shared" si="77"/>
        <v>1.0000090039146217</v>
      </c>
      <c r="AL83">
        <f t="shared" si="78"/>
        <v>4.243547351788576E-3</v>
      </c>
      <c r="AM83" t="str">
        <f t="shared" ref="AM83:AM146" si="111">IMSUB(COMPLEX(1,0),IMDIV(COMPLEX(0,2*PI()*O83),COMPLEX(wz2_dcm,0)))</f>
        <v>1-0,000352848199043247i</v>
      </c>
      <c r="AN83">
        <f t="shared" si="79"/>
        <v>1.0000000622509237</v>
      </c>
      <c r="AO83">
        <f t="shared" si="80"/>
        <v>-3.5284818439983005E-4</v>
      </c>
      <c r="AP83" s="41" t="str">
        <f t="shared" si="81"/>
        <v>67,7610598552417-83,4147378144574i</v>
      </c>
      <c r="AQ83">
        <f t="shared" si="82"/>
        <v>40.62566180786412</v>
      </c>
      <c r="AR83" s="43">
        <f t="shared" si="83"/>
        <v>-50.911691758139774</v>
      </c>
      <c r="AS83" t="str">
        <f t="shared" ref="AS83:AS146" si="112">COMPLEX(Adc_ea,0)</f>
        <v>-0,0000166666666666667</v>
      </c>
      <c r="AT83" t="str">
        <f t="shared" ref="AT83:AT146" si="113">COMPLEX(0,2*PI()*O83*wp0_ea)</f>
        <v>4,30251133558601E-07i</v>
      </c>
      <c r="AU83">
        <f t="shared" si="84"/>
        <v>4.3025113355860098E-7</v>
      </c>
      <c r="AV83">
        <f t="shared" si="85"/>
        <v>1.5707963267948966</v>
      </c>
      <c r="AW83" t="str">
        <f t="shared" ref="AW83:AW146" si="114">IMSUM(COMPLEX(1,0),IMDIV(COMPLEX(0,2*PI()*O83),COMPLEX(wp1_ea,0)))</f>
        <v>1+0,00199372655437865i</v>
      </c>
      <c r="AX83">
        <f t="shared" si="86"/>
        <v>1.0000019874708117</v>
      </c>
      <c r="AY83">
        <f t="shared" si="87"/>
        <v>1.9937239127334363E-3</v>
      </c>
      <c r="AZ83" t="str">
        <f t="shared" ref="AZ83:AZ146" si="115">IMSUM(COMPLEX(1,0),IMDIV(COMPLEX(0,2*PI()*O83),COMPLEX(wz_ea,0)))</f>
        <v>1+0,0926176608443173i</v>
      </c>
      <c r="BA83">
        <f t="shared" si="88"/>
        <v>1.0042798569623275</v>
      </c>
      <c r="BB83">
        <f t="shared" si="89"/>
        <v>9.2354189833191727E-2</v>
      </c>
      <c r="BC83" s="41" t="str">
        <f t="shared" si="90"/>
        <v>-3,51049139280657+38,7440652142541i</v>
      </c>
      <c r="BD83">
        <f t="shared" si="91"/>
        <v>31.799612306151282</v>
      </c>
      <c r="BE83" s="43">
        <f t="shared" si="92"/>
        <v>95.177273332077959</v>
      </c>
      <c r="BF83" s="41" t="str">
        <f t="shared" si="93"/>
        <v>954,638716453721+920,085834488633i</v>
      </c>
      <c r="BG83" s="20">
        <f t="shared" si="94"/>
        <v>62.449924421457752</v>
      </c>
      <c r="BH83" s="43">
        <f t="shared" si="95"/>
        <v>43.94410611928155</v>
      </c>
      <c r="BI83" s="41" t="str">
        <f t="shared" si="101"/>
        <v>2993,95142432397+2918,16564114933i</v>
      </c>
      <c r="BJ83" s="20">
        <f t="shared" si="97"/>
        <v>72.425274114015409</v>
      </c>
      <c r="BK83" s="43">
        <f t="shared" si="102"/>
        <v>44.265581573938185</v>
      </c>
      <c r="BL83">
        <f t="shared" si="99"/>
        <v>62.449924421457752</v>
      </c>
      <c r="BM83" s="43">
        <f t="shared" si="100"/>
        <v>43.94410611928155</v>
      </c>
    </row>
    <row r="84" spans="14:65" x14ac:dyDescent="0.25">
      <c r="N84" s="9">
        <v>66</v>
      </c>
      <c r="O84" s="34">
        <f t="shared" ref="O84:O118" si="116">10^(1+(N84/100))</f>
        <v>45.70881896148753</v>
      </c>
      <c r="P84" s="33" t="str">
        <f t="shared" si="103"/>
        <v>54,631621870174</v>
      </c>
      <c r="Q84" s="4" t="str">
        <f t="shared" si="104"/>
        <v>1+1,28201864306436i</v>
      </c>
      <c r="R84" s="4">
        <f t="shared" ref="R84:R147" si="117">IMABS(Q84)</f>
        <v>1.625906455231845</v>
      </c>
      <c r="S84" s="4">
        <f t="shared" ref="S84:S147" si="118">IMARGUMENT(Q84)</f>
        <v>0.90835768660887251</v>
      </c>
      <c r="T84" s="4" t="str">
        <f t="shared" si="105"/>
        <v>1+0,00434241833317513i</v>
      </c>
      <c r="U84" s="4">
        <f t="shared" ref="U84:U147" si="119">IMABS(T84)</f>
        <v>1.0000094282540442</v>
      </c>
      <c r="V84" s="4">
        <f t="shared" ref="V84:V147" si="120">IMARGUMENT(T84)</f>
        <v>4.3423910390731242E-3</v>
      </c>
      <c r="W84" t="str">
        <f t="shared" si="106"/>
        <v>1-0,00114285409693462i</v>
      </c>
      <c r="X84" s="4">
        <f t="shared" ref="X84:X147" si="121">IMABS(W84)</f>
        <v>1.0000006530575303</v>
      </c>
      <c r="Y84" s="4">
        <f t="shared" ref="Y84:Y147" si="122">IMARGUMENT(W84)</f>
        <v>-1.1428535993685315E-3</v>
      </c>
      <c r="Z84" t="str">
        <f t="shared" si="107"/>
        <v>0,999999991642816+0,000157018909466168i</v>
      </c>
      <c r="AA84" s="4">
        <f t="shared" ref="AA84:AA147" si="123">IMABS(Z84)</f>
        <v>1.000000003970285</v>
      </c>
      <c r="AB84" s="4">
        <f t="shared" ref="AB84:AB147" si="124">IMARGUMENT(Z84)</f>
        <v>1.5701890948797341E-4</v>
      </c>
      <c r="AC84" s="47" t="str">
        <f t="shared" ref="AC84:AC147" si="125">(IMDIV(IMPRODUCT(P84,T84,W84),IMPRODUCT(Q84,Z84)))</f>
        <v>20,746557956985-26,431254939807i</v>
      </c>
      <c r="AD84" s="20">
        <f t="shared" ref="AD84:AD147" si="126">20*LOG(IMABS(AC84))</f>
        <v>30.527058299507679</v>
      </c>
      <c r="AE84" s="43">
        <f t="shared" ref="AE84:AE147" si="127">(180/PI())*IMARGUMENT(AC84)</f>
        <v>-51.870738260083783</v>
      </c>
      <c r="AF84" t="str">
        <f t="shared" si="108"/>
        <v>171,265703090588</v>
      </c>
      <c r="AG84" t="str">
        <f t="shared" si="109"/>
        <v>1+1,26974970229642i</v>
      </c>
      <c r="AH84">
        <f t="shared" ref="AH84:AH147" si="128">IMABS(AG84)</f>
        <v>1.6162500754777545</v>
      </c>
      <c r="AI84">
        <f t="shared" ref="AI84:AI147" si="129">IMARGUMENT(AG84)</f>
        <v>0.90368889452275303</v>
      </c>
      <c r="AJ84" t="str">
        <f t="shared" si="110"/>
        <v>1+0,00434241833317513i</v>
      </c>
      <c r="AK84">
        <f t="shared" ref="AK84:AK147" si="130">IMABS(AJ84)</f>
        <v>1.0000094282540442</v>
      </c>
      <c r="AL84">
        <f t="shared" ref="AL84:AL147" si="131">IMARGUMENT(AJ84)</f>
        <v>4.3423910390731242E-3</v>
      </c>
      <c r="AM84" t="str">
        <f t="shared" si="111"/>
        <v>1-0,00036106708941984i</v>
      </c>
      <c r="AN84">
        <f t="shared" ref="AN84:AN147" si="132">IMABS(AM84)</f>
        <v>1.0000000651847194</v>
      </c>
      <c r="AO84">
        <f t="shared" ref="AO84:AO147" si="133">IMARGUMENT(AM84)</f>
        <v>-3.610670737291361E-4</v>
      </c>
      <c r="AP84" s="41" t="str">
        <f t="shared" ref="AP84:AP147" si="134">(IMDIV(IMPRODUCT(AF84,AJ84,AM84),IMPRODUCT(AG84)))</f>
        <v>65,8937053382795-82,9866438164761i</v>
      </c>
      <c r="AQ84">
        <f t="shared" ref="AQ84:AQ147" si="135">20*LOG(IMABS(AP84))</f>
        <v>40.503319330930111</v>
      </c>
      <c r="AR84" s="43">
        <f t="shared" ref="AR84:AR147" si="136">(180/PI())*IMARGUMENT(AP84)</f>
        <v>-51.549446588908275</v>
      </c>
      <c r="AS84" t="str">
        <f t="shared" si="112"/>
        <v>-0,0000166666666666667</v>
      </c>
      <c r="AT84" t="str">
        <f t="shared" si="113"/>
        <v>4,40272969891368E-07i</v>
      </c>
      <c r="AU84">
        <f t="shared" ref="AU84:AU147" si="137">IMABS(AT84)</f>
        <v>4.4027296989136801E-7</v>
      </c>
      <c r="AV84">
        <f t="shared" ref="AV84:AV147" si="138">IMARGUMENT(AT84)</f>
        <v>1.5707963267948966</v>
      </c>
      <c r="AW84" t="str">
        <f t="shared" si="114"/>
        <v>1+0,00204016641161973i</v>
      </c>
      <c r="AX84">
        <f t="shared" ref="AX84:AX147" si="139">IMABS(AW84)</f>
        <v>1.000002081137328</v>
      </c>
      <c r="AY84">
        <f t="shared" ref="AY84:AY147" si="140">IMARGUMENT(AW84)</f>
        <v>2.040163581046204E-3</v>
      </c>
      <c r="AZ84" t="str">
        <f t="shared" si="115"/>
        <v>1+0,0947750033034255i</v>
      </c>
      <c r="BA84">
        <f t="shared" ref="BA84:BA147" si="141">IMABS(AZ84)</f>
        <v>1.004481110450149</v>
      </c>
      <c r="BB84">
        <f t="shared" ref="BB84:BB147" si="142">IMARGUMENT(AZ84)</f>
        <v>9.4492757004887878E-2</v>
      </c>
      <c r="BC84" s="41" t="str">
        <f t="shared" ref="BC84:BC147" si="143">IMPRODUCT(AS84,IMDIV(AZ84,IMPRODUCT(AT84,AW84)))</f>
        <v>-3,51049073517696+37,8624649596637i</v>
      </c>
      <c r="BD84">
        <f t="shared" ref="BD84:BD147" si="144">20*LOG(IMABS(BC84))</f>
        <v>31.601351934190109</v>
      </c>
      <c r="BE84" s="43">
        <f t="shared" ref="BE84:BE147" si="145">(180/PI())*IMARGUMENT(BC84)</f>
        <v>95.297143408225068</v>
      </c>
      <c r="BF84" s="41" t="str">
        <f t="shared" ref="BF84:BF147" si="146">IMPRODUCT(AC84,BC84)</f>
        <v>927,921864503573+878,302499265269i</v>
      </c>
      <c r="BG84" s="20">
        <f t="shared" ref="BG84:BG147" si="147">20*LOG(IMABS(BF84))</f>
        <v>62.128410233697792</v>
      </c>
      <c r="BH84" s="43">
        <f t="shared" ref="BH84:BH147" si="148">(180/PI())*IMARGUMENT(BF84)</f>
        <v>43.426405148141278</v>
      </c>
      <c r="BI84" s="41" t="str">
        <f t="shared" si="101"/>
        <v>2910,75965152491+2786,22195369418i</v>
      </c>
      <c r="BJ84" s="20">
        <f t="shared" ref="BJ84:BJ147" si="149">20*LOG(IMABS(BI84))</f>
        <v>72.104671265120217</v>
      </c>
      <c r="BK84" s="43">
        <f t="shared" si="102"/>
        <v>43.747696819316751</v>
      </c>
      <c r="BL84">
        <f t="shared" ref="BL84:BL147" si="150">IF($B$31=0,BJ84,BG84)</f>
        <v>62.128410233697792</v>
      </c>
      <c r="BM84" s="43">
        <f t="shared" ref="BM84:BM147" si="151">IF($B$31=0,BK84,BH84)</f>
        <v>43.426405148141278</v>
      </c>
    </row>
    <row r="85" spans="14:65" x14ac:dyDescent="0.25">
      <c r="N85" s="9">
        <v>67</v>
      </c>
      <c r="O85" s="34">
        <f t="shared" si="116"/>
        <v>46.773514128719818</v>
      </c>
      <c r="P85" s="33" t="str">
        <f t="shared" si="103"/>
        <v>54,631621870174</v>
      </c>
      <c r="Q85" s="4" t="str">
        <f t="shared" si="104"/>
        <v>1+1,31188069342104i</v>
      </c>
      <c r="R85" s="4">
        <f t="shared" si="117"/>
        <v>1.6495547744075882</v>
      </c>
      <c r="S85" s="4">
        <f t="shared" si="118"/>
        <v>0.91949207331607163</v>
      </c>
      <c r="T85" s="4" t="str">
        <f t="shared" si="105"/>
        <v>1+0,00444356624988959i</v>
      </c>
      <c r="U85" s="4">
        <f t="shared" si="119"/>
        <v>1.0000098725917745</v>
      </c>
      <c r="V85" s="4">
        <f t="shared" si="120"/>
        <v>4.4435370037479664E-3</v>
      </c>
      <c r="W85" t="str">
        <f t="shared" si="106"/>
        <v>1-0,00116947458859254i</v>
      </c>
      <c r="X85" s="4">
        <f t="shared" si="121"/>
        <v>1.0000006838351727</v>
      </c>
      <c r="Y85" s="4">
        <f t="shared" si="122"/>
        <v>-1.1694740554408902E-3</v>
      </c>
      <c r="Z85" t="str">
        <f t="shared" si="107"/>
        <v>0,999999991248954+0,000160676349712296i</v>
      </c>
      <c r="AA85" s="4">
        <f t="shared" si="123"/>
        <v>1.0000000041573986</v>
      </c>
      <c r="AB85" s="4">
        <f t="shared" si="124"/>
        <v>1.6067634973566093E-4</v>
      </c>
      <c r="AC85" s="47" t="str">
        <f t="shared" si="125"/>
        <v>20,159665013523-26,2769844376447i</v>
      </c>
      <c r="AD85" s="20">
        <f t="shared" si="126"/>
        <v>30.401638708583612</v>
      </c>
      <c r="AE85" s="43">
        <f t="shared" si="127"/>
        <v>-52.504631184653697</v>
      </c>
      <c r="AF85" t="str">
        <f t="shared" si="108"/>
        <v>171,265703090588</v>
      </c>
      <c r="AG85" t="str">
        <f t="shared" si="109"/>
        <v>1+1,2993259723105i</v>
      </c>
      <c r="AH85">
        <f t="shared" si="128"/>
        <v>1.6395877476733673</v>
      </c>
      <c r="AI85">
        <f t="shared" si="129"/>
        <v>0.91485005099813832</v>
      </c>
      <c r="AJ85" t="str">
        <f t="shared" si="110"/>
        <v>1+0,00444356624988959i</v>
      </c>
      <c r="AK85">
        <f t="shared" si="130"/>
        <v>1.0000098725917745</v>
      </c>
      <c r="AL85">
        <f t="shared" si="131"/>
        <v>4.4435370037479664E-3</v>
      </c>
      <c r="AM85" t="str">
        <f t="shared" si="111"/>
        <v>1-0,00036947742234653i</v>
      </c>
      <c r="AN85">
        <f t="shared" si="132"/>
        <v>1.0000000682567804</v>
      </c>
      <c r="AO85">
        <f t="shared" si="133"/>
        <v>-3.6947740553363792E-4</v>
      </c>
      <c r="AP85" s="41" t="str">
        <f t="shared" si="134"/>
        <v>64,0463946392858-82,5193923001694i</v>
      </c>
      <c r="AQ85">
        <f t="shared" si="135"/>
        <v>40.37880109530434</v>
      </c>
      <c r="AR85" s="43">
        <f t="shared" si="136"/>
        <v>-52.18362038905903</v>
      </c>
      <c r="AS85" t="str">
        <f t="shared" si="112"/>
        <v>-0,0000166666666666667</v>
      </c>
      <c r="AT85" t="str">
        <f t="shared" si="113"/>
        <v>4,50528244780472E-07i</v>
      </c>
      <c r="AU85">
        <f t="shared" si="137"/>
        <v>4.5052824478047202E-7</v>
      </c>
      <c r="AV85">
        <f t="shared" si="138"/>
        <v>1.5707963267948966</v>
      </c>
      <c r="AW85" t="str">
        <f t="shared" si="114"/>
        <v>1+0,00208768799209704i</v>
      </c>
      <c r="AX85">
        <f t="shared" si="139"/>
        <v>1.0000021792182017</v>
      </c>
      <c r="AY85">
        <f t="shared" si="140"/>
        <v>2.0876849590832189E-3</v>
      </c>
      <c r="AZ85" t="str">
        <f t="shared" si="115"/>
        <v>1+0,0969825967237806i</v>
      </c>
      <c r="BA85">
        <f t="shared" si="141"/>
        <v>1.0046918055141525</v>
      </c>
      <c r="BB85">
        <f t="shared" si="142"/>
        <v>9.6680240591967337E-2</v>
      </c>
      <c r="BC85" s="41" t="str">
        <f t="shared" si="143"/>
        <v>-3,51049004655451+37,0009398850374i</v>
      </c>
      <c r="BD85">
        <f t="shared" si="144"/>
        <v>31.403172801115264</v>
      </c>
      <c r="BE85" s="43">
        <f t="shared" si="145"/>
        <v>95.419754211120718</v>
      </c>
      <c r="BF85" s="41" t="str">
        <f t="shared" si="146"/>
        <v>901,502818165509+838,171645589676i</v>
      </c>
      <c r="BG85" s="20">
        <f t="shared" si="147"/>
        <v>61.804811509698879</v>
      </c>
      <c r="BH85" s="43">
        <f t="shared" si="148"/>
        <v>42.915123026467043</v>
      </c>
      <c r="BI85" s="41" t="str">
        <f t="shared" si="101"/>
        <v>2828,46084294947+2659,46030321907i</v>
      </c>
      <c r="BJ85" s="20">
        <f t="shared" si="149"/>
        <v>71.781973896419615</v>
      </c>
      <c r="BK85" s="43">
        <f t="shared" si="102"/>
        <v>43.236133822061745</v>
      </c>
      <c r="BL85">
        <f t="shared" si="150"/>
        <v>61.804811509698879</v>
      </c>
      <c r="BM85" s="43">
        <f t="shared" si="151"/>
        <v>42.915123026467043</v>
      </c>
    </row>
    <row r="86" spans="14:65" x14ac:dyDescent="0.25">
      <c r="N86" s="9">
        <v>68</v>
      </c>
      <c r="O86" s="34">
        <f t="shared" si="116"/>
        <v>47.863009232263877</v>
      </c>
      <c r="P86" s="33" t="str">
        <f t="shared" si="103"/>
        <v>54,631621870174</v>
      </c>
      <c r="Q86" s="4" t="str">
        <f t="shared" si="104"/>
        <v>1+1,34243832028617i</v>
      </c>
      <c r="R86" s="4">
        <f t="shared" si="117"/>
        <v>1.6739595705311263</v>
      </c>
      <c r="S86" s="4">
        <f t="shared" si="118"/>
        <v>0.93055873879698547</v>
      </c>
      <c r="T86" s="4" t="str">
        <f t="shared" si="105"/>
        <v>1+0,00454707020424729i</v>
      </c>
      <c r="U86" s="4">
        <f t="shared" si="119"/>
        <v>1.0000103378702854</v>
      </c>
      <c r="V86" s="4">
        <f t="shared" si="120"/>
        <v>4.5470388664594335E-3</v>
      </c>
      <c r="W86" t="str">
        <f t="shared" si="106"/>
        <v>1-0,00119671515115717i</v>
      </c>
      <c r="X86" s="4">
        <f t="shared" si="121"/>
        <v>1.0000007160633202</v>
      </c>
      <c r="Y86" s="4">
        <f t="shared" si="122"/>
        <v>-1.1967145798749068E-3</v>
      </c>
      <c r="Z86" t="str">
        <f t="shared" si="107"/>
        <v>0,999999990836529+0,000164418982685844i</v>
      </c>
      <c r="AA86" s="4">
        <f t="shared" si="123"/>
        <v>1.0000000043533301</v>
      </c>
      <c r="AB86" s="4">
        <f t="shared" si="124"/>
        <v>1.6441898271088012E-4</v>
      </c>
      <c r="AC86" s="47" t="str">
        <f t="shared" si="125"/>
        <v>19,5798892332158-26,1107408109978i</v>
      </c>
      <c r="AD86" s="20">
        <f t="shared" si="126"/>
        <v>30.274078556381113</v>
      </c>
      <c r="AE86" s="43">
        <f t="shared" si="127"/>
        <v>-53.134549394243706</v>
      </c>
      <c r="AF86" t="str">
        <f t="shared" si="108"/>
        <v>171,265703090588</v>
      </c>
      <c r="AG86" t="str">
        <f t="shared" si="109"/>
        <v>1+1,32959116215371i</v>
      </c>
      <c r="AH86">
        <f t="shared" si="128"/>
        <v>1.6636744448591054</v>
      </c>
      <c r="AI86">
        <f t="shared" si="129"/>
        <v>0.92594561297742972</v>
      </c>
      <c r="AJ86" t="str">
        <f t="shared" si="110"/>
        <v>1+0,00454707020424729i</v>
      </c>
      <c r="AK86">
        <f t="shared" si="130"/>
        <v>1.0000103378702854</v>
      </c>
      <c r="AL86">
        <f t="shared" si="131"/>
        <v>4.5470388664594335E-3</v>
      </c>
      <c r="AM86" t="str">
        <f t="shared" si="111"/>
        <v>1-0,000378083657093161i</v>
      </c>
      <c r="AN86">
        <f t="shared" si="132"/>
        <v>1.0000000714736232</v>
      </c>
      <c r="AO86">
        <f t="shared" si="133"/>
        <v>-3.7808363907782265E-4</v>
      </c>
      <c r="AP86" s="41" t="str">
        <f t="shared" si="134"/>
        <v>62,220732662181-82,014131838191i</v>
      </c>
      <c r="AQ86">
        <f t="shared" si="135"/>
        <v>40.25213153745316</v>
      </c>
      <c r="AR86" s="43">
        <f t="shared" si="136"/>
        <v>-52.813912142752713</v>
      </c>
      <c r="AS86" t="str">
        <f t="shared" si="112"/>
        <v>-0,0000166666666666667</v>
      </c>
      <c r="AT86" t="str">
        <f t="shared" si="113"/>
        <v>4,61022395708406E-07i</v>
      </c>
      <c r="AU86">
        <f t="shared" si="137"/>
        <v>4.6102239570840599E-7</v>
      </c>
      <c r="AV86">
        <f t="shared" si="138"/>
        <v>1.5707963267948966</v>
      </c>
      <c r="AW86" t="str">
        <f t="shared" si="114"/>
        <v>1+0,00213631649238158i</v>
      </c>
      <c r="AX86">
        <f t="shared" si="139"/>
        <v>1.0000022819214742</v>
      </c>
      <c r="AY86">
        <f t="shared" si="140"/>
        <v>2.136313242449118E-3</v>
      </c>
      <c r="AZ86" t="str">
        <f t="shared" si="115"/>
        <v>1+0,0992416116006351i</v>
      </c>
      <c r="BA86">
        <f t="shared" si="141"/>
        <v>1.0049123829832585</v>
      </c>
      <c r="BB86">
        <f t="shared" si="142"/>
        <v>9.8917716642730746E-2</v>
      </c>
      <c r="BC86" s="41" t="str">
        <f t="shared" si="143"/>
        <v>-3,51048932547854+36,1590331983681i</v>
      </c>
      <c r="BD86">
        <f t="shared" si="144"/>
        <v>31.205078664191074</v>
      </c>
      <c r="BE86" s="43">
        <f t="shared" si="145"/>
        <v>95.545165950189187</v>
      </c>
      <c r="BF86" s="41" t="str">
        <f t="shared" si="146"/>
        <v>875,404151671598+799,651341701565i</v>
      </c>
      <c r="BG86" s="20">
        <f t="shared" si="147"/>
        <v>61.479157220572191</v>
      </c>
      <c r="BH86" s="43">
        <f t="shared" si="148"/>
        <v>42.410616555945495</v>
      </c>
      <c r="BI86" s="41" t="str">
        <f t="shared" si="101"/>
        <v>2747,12649803845+2537,75127231495i</v>
      </c>
      <c r="BJ86" s="20">
        <f t="shared" si="149"/>
        <v>71.457210201644244</v>
      </c>
      <c r="BK86" s="43">
        <f t="shared" si="102"/>
        <v>42.731253807436467</v>
      </c>
      <c r="BL86">
        <f t="shared" si="150"/>
        <v>61.479157220572191</v>
      </c>
      <c r="BM86" s="43">
        <f t="shared" si="151"/>
        <v>42.410616555945495</v>
      </c>
    </row>
    <row r="87" spans="14:65" x14ac:dyDescent="0.25">
      <c r="N87" s="9">
        <v>69</v>
      </c>
      <c r="O87" s="34">
        <f t="shared" si="116"/>
        <v>48.977881936844632</v>
      </c>
      <c r="P87" s="33" t="str">
        <f t="shared" si="103"/>
        <v>54,631621870174</v>
      </c>
      <c r="Q87" s="4" t="str">
        <f t="shared" si="104"/>
        <v>1+1,37370772571799i</v>
      </c>
      <c r="R87" s="4">
        <f t="shared" si="117"/>
        <v>1.699138874753118</v>
      </c>
      <c r="S87" s="4">
        <f t="shared" si="118"/>
        <v>0.94155270838385408</v>
      </c>
      <c r="T87" s="4" t="str">
        <f t="shared" si="105"/>
        <v>1+0,00465298507541487i</v>
      </c>
      <c r="U87" s="4">
        <f t="shared" si="119"/>
        <v>1.0000108250764648</v>
      </c>
      <c r="V87" s="4">
        <f t="shared" si="120"/>
        <v>4.6529514963898292E-3</v>
      </c>
      <c r="W87" t="str">
        <f t="shared" si="106"/>
        <v>1-0,00122459022793534i</v>
      </c>
      <c r="X87" s="4">
        <f t="shared" si="121"/>
        <v>1.000000749810332</v>
      </c>
      <c r="Y87" s="4">
        <f t="shared" si="122"/>
        <v>-1.2245896157953911E-3</v>
      </c>
      <c r="Z87" t="str">
        <f t="shared" si="107"/>
        <v>0,999999990404668+0,000168248792780355i</v>
      </c>
      <c r="AA87" s="4">
        <f t="shared" si="123"/>
        <v>1.0000000045584962</v>
      </c>
      <c r="AB87" s="4">
        <f t="shared" si="124"/>
        <v>1.6824879280718169E-4</v>
      </c>
      <c r="AC87" s="47" t="str">
        <f t="shared" si="125"/>
        <v>19,0077051154137-25,9329243545067i</v>
      </c>
      <c r="AD87" s="20">
        <f t="shared" si="126"/>
        <v>30.144404848300081</v>
      </c>
      <c r="AE87" s="43">
        <f t="shared" si="127"/>
        <v>-53.760205658841315</v>
      </c>
      <c r="AF87" t="str">
        <f t="shared" si="108"/>
        <v>171,265703090588</v>
      </c>
      <c r="AG87" t="str">
        <f t="shared" si="109"/>
        <v>1+1,36056131883032i</v>
      </c>
      <c r="AH87">
        <f t="shared" si="128"/>
        <v>1.6885280875061865</v>
      </c>
      <c r="AI87">
        <f t="shared" si="129"/>
        <v>0.93697053599476343</v>
      </c>
      <c r="AJ87" t="str">
        <f t="shared" si="110"/>
        <v>1+0,00465298507541487i</v>
      </c>
      <c r="AK87">
        <f t="shared" si="130"/>
        <v>1.0000108250764648</v>
      </c>
      <c r="AL87">
        <f t="shared" si="131"/>
        <v>4.6529514963898292E-3</v>
      </c>
      <c r="AM87" t="str">
        <f t="shared" si="111"/>
        <v>1-0,000386890356799312i</v>
      </c>
      <c r="AN87">
        <f t="shared" si="132"/>
        <v>1.0000000748420712</v>
      </c>
      <c r="AO87">
        <f t="shared" si="133"/>
        <v>-3.8689033749552928E-4</v>
      </c>
      <c r="AP87" s="41" t="str">
        <f t="shared" si="134"/>
        <v>60,4182415966638-81,472086756731i</v>
      </c>
      <c r="AQ87">
        <f t="shared" si="135"/>
        <v>40.123336926284523</v>
      </c>
      <c r="AR87" s="43">
        <f t="shared" si="136"/>
        <v>-53.440029941061177</v>
      </c>
      <c r="AS87" t="str">
        <f t="shared" si="112"/>
        <v>-0,0000166666666666667</v>
      </c>
      <c r="AT87" t="str">
        <f t="shared" si="113"/>
        <v>4,71760986812896E-07i</v>
      </c>
      <c r="AU87">
        <f t="shared" si="137"/>
        <v>4.71760986812896E-7</v>
      </c>
      <c r="AV87">
        <f t="shared" si="138"/>
        <v>1.5707963267948966</v>
      </c>
      <c r="AW87" t="str">
        <f t="shared" si="114"/>
        <v>1+0,00218607769594787i</v>
      </c>
      <c r="AX87">
        <f t="shared" si="139"/>
        <v>1.0000023894649916</v>
      </c>
      <c r="AY87">
        <f t="shared" si="140"/>
        <v>2.1860742135829457E-3</v>
      </c>
      <c r="AZ87" t="str">
        <f t="shared" si="115"/>
        <v>1+0,101553245693578i</v>
      </c>
      <c r="BA87">
        <f t="shared" si="141"/>
        <v>1.0051433040670867</v>
      </c>
      <c r="BB87">
        <f t="shared" si="142"/>
        <v>0.10120628183556506</v>
      </c>
      <c r="BC87" s="41" t="str">
        <f t="shared" si="143"/>
        <v>-3,51048857041964+35,3362985095766i</v>
      </c>
      <c r="BD87">
        <f t="shared" si="144"/>
        <v>31.007073450967852</v>
      </c>
      <c r="BE87" s="43">
        <f t="shared" si="145"/>
        <v>95.673439983248713</v>
      </c>
      <c r="BF87" s="41" t="str">
        <f t="shared" si="146"/>
        <v>849,647224659551+762,699176484318i</v>
      </c>
      <c r="BG87" s="20">
        <f t="shared" si="147"/>
        <v>61.151478299267936</v>
      </c>
      <c r="BH87" s="43">
        <f t="shared" si="148"/>
        <v>41.913234324407412</v>
      </c>
      <c r="BI87" s="41" t="str">
        <f t="shared" si="101"/>
        <v>2666,82443126403+2420,96384985117i</v>
      </c>
      <c r="BJ87" s="20">
        <f t="shared" si="149"/>
        <v>71.130410377252375</v>
      </c>
      <c r="BK87" s="43">
        <f t="shared" si="102"/>
        <v>42.233410042187501</v>
      </c>
      <c r="BL87">
        <f t="shared" si="150"/>
        <v>61.151478299267936</v>
      </c>
      <c r="BM87" s="43">
        <f t="shared" si="151"/>
        <v>41.913234324407412</v>
      </c>
    </row>
    <row r="88" spans="14:65" x14ac:dyDescent="0.25">
      <c r="N88" s="9">
        <v>70</v>
      </c>
      <c r="O88" s="34">
        <f t="shared" si="116"/>
        <v>50.118723362727238</v>
      </c>
      <c r="P88" s="33" t="str">
        <f t="shared" si="103"/>
        <v>54,631621870174</v>
      </c>
      <c r="Q88" s="4" t="str">
        <f t="shared" si="104"/>
        <v>1+1,40570548916915i</v>
      </c>
      <c r="R88" s="4">
        <f t="shared" si="117"/>
        <v>1.7251109883947406</v>
      </c>
      <c r="S88" s="4">
        <f t="shared" si="118"/>
        <v>0.9524691810462651</v>
      </c>
      <c r="T88" s="4" t="str">
        <f t="shared" si="105"/>
        <v>1+0,00476136702085897i</v>
      </c>
      <c r="U88" s="4">
        <f t="shared" si="119"/>
        <v>1.0000113352437097</v>
      </c>
      <c r="V88" s="4">
        <f t="shared" si="120"/>
        <v>4.7613310403074151E-3</v>
      </c>
      <c r="W88" t="str">
        <f t="shared" si="106"/>
        <v>1-0,00125311459866172i</v>
      </c>
      <c r="X88" s="4">
        <f t="shared" si="121"/>
        <v>1.0000007851477903</v>
      </c>
      <c r="Y88" s="4">
        <f t="shared" si="122"/>
        <v>-1.2531139427419749E-3</v>
      </c>
      <c r="Z88" t="str">
        <f t="shared" si="107"/>
        <v>0,999999989952454+0,000172167810611834i</v>
      </c>
      <c r="AA88" s="4">
        <f t="shared" si="123"/>
        <v>1.0000000047733317</v>
      </c>
      <c r="AB88" s="4">
        <f t="shared" si="124"/>
        <v>1.7216781064057933E-4</v>
      </c>
      <c r="AC88" s="47" t="str">
        <f t="shared" si="125"/>
        <v>18,4435589437079-25,7439563937437i</v>
      </c>
      <c r="AD88" s="20">
        <f t="shared" si="126"/>
        <v>30.012646279972014</v>
      </c>
      <c r="AE88" s="43">
        <f t="shared" si="127"/>
        <v>-54.381322645844477</v>
      </c>
      <c r="AF88" t="str">
        <f t="shared" si="108"/>
        <v>171,265703090588</v>
      </c>
      <c r="AG88" t="str">
        <f t="shared" si="109"/>
        <v>1+1,39225286312732i</v>
      </c>
      <c r="AH88">
        <f t="shared" si="128"/>
        <v>1.7141668631980436</v>
      </c>
      <c r="AI88">
        <f t="shared" si="129"/>
        <v>0.94791994542758451</v>
      </c>
      <c r="AJ88" t="str">
        <f t="shared" si="110"/>
        <v>1+0,00476136702085897i</v>
      </c>
      <c r="AK88">
        <f t="shared" si="130"/>
        <v>1.0000113352437097</v>
      </c>
      <c r="AL88">
        <f t="shared" si="131"/>
        <v>4.7613310403074151E-3</v>
      </c>
      <c r="AM88" t="str">
        <f t="shared" si="111"/>
        <v>1-0,000395902190893736i</v>
      </c>
      <c r="AN88">
        <f t="shared" si="132"/>
        <v>1.0000000783692693</v>
      </c>
      <c r="AO88">
        <f t="shared" si="133"/>
        <v>-3.9590217020936017E-4</v>
      </c>
      <c r="AP88" s="41" t="str">
        <f t="shared" si="134"/>
        <v>58,6403567798838-80,8945502181795i</v>
      </c>
      <c r="AQ88">
        <f t="shared" si="135"/>
        <v>39.992445263783274</v>
      </c>
      <c r="AR88" s="43">
        <f t="shared" si="136"/>
        <v>-54.061691539250717</v>
      </c>
      <c r="AS88" t="str">
        <f t="shared" si="112"/>
        <v>-0,0000166666666666667</v>
      </c>
      <c r="AT88" t="str">
        <f t="shared" si="113"/>
        <v>4,8274971183709E-07i</v>
      </c>
      <c r="AU88">
        <f t="shared" si="137"/>
        <v>4.8274971183709001E-7</v>
      </c>
      <c r="AV88">
        <f t="shared" si="138"/>
        <v>1.5707963267948966</v>
      </c>
      <c r="AW88" t="str">
        <f t="shared" si="114"/>
        <v>1+0,00223699798684471i</v>
      </c>
      <c r="AX88">
        <f t="shared" si="139"/>
        <v>1.0000025020768664</v>
      </c>
      <c r="AY88">
        <f t="shared" si="140"/>
        <v>2.2369942554239697E-3</v>
      </c>
      <c r="AZ88" t="str">
        <f t="shared" si="115"/>
        <v>1+0,103918724661604i</v>
      </c>
      <c r="BA88">
        <f t="shared" si="141"/>
        <v>1.0053850512790083</v>
      </c>
      <c r="BB88">
        <f t="shared" si="142"/>
        <v>0.10354705365400972</v>
      </c>
      <c r="BC88" s="41" t="str">
        <f t="shared" si="143"/>
        <v>-3,51048777977627+34,5322995938304i</v>
      </c>
      <c r="BD88">
        <f t="shared" si="144"/>
        <v>30.809161266667235</v>
      </c>
      <c r="BE88" s="43">
        <f t="shared" si="145"/>
        <v>95.804638825758659</v>
      </c>
      <c r="BF88" s="41" t="str">
        <f t="shared" si="146"/>
        <v>824,252126631793+727,272347343922i</v>
      </c>
      <c r="BG88" s="20">
        <f t="shared" si="147"/>
        <v>60.821807546639242</v>
      </c>
      <c r="BH88" s="43">
        <f t="shared" si="148"/>
        <v>41.423316179914202</v>
      </c>
      <c r="BI88" s="41" t="str">
        <f t="shared" si="101"/>
        <v>2587,61858776483+2308,96569860347i</v>
      </c>
      <c r="BJ88" s="20">
        <f t="shared" si="149"/>
        <v>70.801606530450513</v>
      </c>
      <c r="BK88" s="43">
        <f t="shared" si="102"/>
        <v>41.742947286507977</v>
      </c>
      <c r="BL88">
        <f t="shared" si="150"/>
        <v>60.821807546639242</v>
      </c>
      <c r="BM88" s="43">
        <f t="shared" si="151"/>
        <v>41.423316179914202</v>
      </c>
    </row>
    <row r="89" spans="14:65" x14ac:dyDescent="0.25">
      <c r="N89" s="9">
        <v>71</v>
      </c>
      <c r="O89" s="34">
        <f t="shared" si="116"/>
        <v>51.28613839913649</v>
      </c>
      <c r="P89" s="33" t="str">
        <f t="shared" si="103"/>
        <v>54,631621870174</v>
      </c>
      <c r="Q89" s="4" t="str">
        <f t="shared" si="104"/>
        <v>1+1,43844857627738i</v>
      </c>
      <c r="R89" s="4">
        <f t="shared" si="117"/>
        <v>1.7518944907141016</v>
      </c>
      <c r="S89" s="4">
        <f t="shared" si="118"/>
        <v>0.963303537792359</v>
      </c>
      <c r="T89" s="4" t="str">
        <f t="shared" si="105"/>
        <v>1+0,00487227350612167i</v>
      </c>
      <c r="U89" s="4">
        <f t="shared" si="119"/>
        <v>1.0000118694541174</v>
      </c>
      <c r="V89" s="4">
        <f t="shared" si="120"/>
        <v>4.8722349522907805E-3</v>
      </c>
      <c r="W89" t="str">
        <f t="shared" si="106"/>
        <v>1-0,00128230338733525i</v>
      </c>
      <c r="X89" s="4">
        <f t="shared" si="121"/>
        <v>1.0000008221506507</v>
      </c>
      <c r="Y89" s="4">
        <f t="shared" si="122"/>
        <v>-1.2823026845046118E-3</v>
      </c>
      <c r="Z89" t="str">
        <f t="shared" si="107"/>
        <v>0,999999989478928+0,00017617811409541i</v>
      </c>
      <c r="AA89" s="4">
        <f t="shared" si="123"/>
        <v>1.0000000049982918</v>
      </c>
      <c r="AB89" s="4">
        <f t="shared" si="124"/>
        <v>1.7617811412621109E-4</v>
      </c>
      <c r="AC89" s="47" t="str">
        <f t="shared" si="125"/>
        <v>17,8878677629792-25,5442769864133i</v>
      </c>
      <c r="AD89" s="20">
        <f t="shared" si="126"/>
        <v>29.878833131797883</v>
      </c>
      <c r="AE89" s="43">
        <f t="shared" si="127"/>
        <v>-54.997633400223123</v>
      </c>
      <c r="AF89" t="str">
        <f t="shared" si="108"/>
        <v>171,265703090588</v>
      </c>
      <c r="AG89" t="str">
        <f t="shared" si="109"/>
        <v>1+1,424682598321i</v>
      </c>
      <c r="AH89">
        <f t="shared" si="128"/>
        <v>1.7406092341357597</v>
      </c>
      <c r="AI89">
        <f t="shared" si="129"/>
        <v>0.95878914530156689</v>
      </c>
      <c r="AJ89" t="str">
        <f t="shared" si="110"/>
        <v>1+0,00487227350612167i</v>
      </c>
      <c r="AK89">
        <f t="shared" si="130"/>
        <v>1.0000118694541174</v>
      </c>
      <c r="AL89">
        <f t="shared" si="131"/>
        <v>4.8722349522907805E-3</v>
      </c>
      <c r="AM89" t="str">
        <f t="shared" si="111"/>
        <v>1-0,000405123937570157i</v>
      </c>
      <c r="AN89">
        <f t="shared" si="132"/>
        <v>1.0000000820626991</v>
      </c>
      <c r="AO89">
        <f t="shared" si="133"/>
        <v>-4.0512391540644912E-4</v>
      </c>
      <c r="AP89" s="41" t="str">
        <f t="shared" si="134"/>
        <v>56,8884232154137-80,2828770892515i</v>
      </c>
      <c r="AQ89">
        <f t="shared" si="135"/>
        <v>39.859486181183222</v>
      </c>
      <c r="AR89" s="43">
        <f t="shared" si="136"/>
        <v>-54.678624859705444</v>
      </c>
      <c r="AS89" t="str">
        <f t="shared" si="112"/>
        <v>-0,0000166666666666667</v>
      </c>
      <c r="AT89" t="str">
        <f t="shared" si="113"/>
        <v>4,93994397148447E-07i</v>
      </c>
      <c r="AU89">
        <f t="shared" si="137"/>
        <v>4.9399439714844703E-7</v>
      </c>
      <c r="AV89">
        <f t="shared" si="138"/>
        <v>1.5707963267948966</v>
      </c>
      <c r="AW89" t="str">
        <f t="shared" si="114"/>
        <v>1+0,00228910436368435i</v>
      </c>
      <c r="AX89">
        <f t="shared" si="139"/>
        <v>1.0000026199959617</v>
      </c>
      <c r="AY89">
        <f t="shared" si="140"/>
        <v>2.2891003653955572E-3</v>
      </c>
      <c r="AZ89" t="str">
        <f t="shared" si="115"/>
        <v>1+0,106339302712973i</v>
      </c>
      <c r="BA89">
        <f t="shared" si="141"/>
        <v>1.0056381293991796</v>
      </c>
      <c r="BB89">
        <f t="shared" si="142"/>
        <v>0.10594117054544025</v>
      </c>
      <c r="BC89" s="41" t="str">
        <f t="shared" si="143"/>
        <v>-3,51048695187142+33,7466101602512i</v>
      </c>
      <c r="BD89">
        <f t="shared" si="144"/>
        <v>30.611346401855698</v>
      </c>
      <c r="BE89" s="43">
        <f t="shared" si="145"/>
        <v>95.938826159110391</v>
      </c>
      <c r="BF89" s="41" t="str">
        <f t="shared" si="146"/>
        <v>799,237630907226+693,327751051177i</v>
      </c>
      <c r="BG89" s="20">
        <f t="shared" si="147"/>
        <v>60.490179533653581</v>
      </c>
      <c r="BH89" s="43">
        <f t="shared" si="148"/>
        <v>40.941192758887283</v>
      </c>
      <c r="BI89" s="41" t="str">
        <f t="shared" si="101"/>
        <v>2509,56888826408+2201,62343336246i</v>
      </c>
      <c r="BJ89" s="20">
        <f t="shared" si="149"/>
        <v>70.470832583038913</v>
      </c>
      <c r="BK89" s="43">
        <f t="shared" si="102"/>
        <v>41.26020129940494</v>
      </c>
      <c r="BL89">
        <f t="shared" si="150"/>
        <v>60.490179533653581</v>
      </c>
      <c r="BM89" s="43">
        <f t="shared" si="151"/>
        <v>40.941192758887283</v>
      </c>
    </row>
    <row r="90" spans="14:65" x14ac:dyDescent="0.25">
      <c r="N90" s="9">
        <v>72</v>
      </c>
      <c r="O90" s="34">
        <f t="shared" si="116"/>
        <v>52.480746024977286</v>
      </c>
      <c r="P90" s="33" t="str">
        <f t="shared" si="103"/>
        <v>54,631621870174</v>
      </c>
      <c r="Q90" s="4" t="str">
        <f t="shared" si="104"/>
        <v>1+1,47195434786087i</v>
      </c>
      <c r="R90" s="4">
        <f t="shared" si="117"/>
        <v>1.7795082472937624</v>
      </c>
      <c r="S90" s="4">
        <f t="shared" si="118"/>
        <v>0.97405134909014734</v>
      </c>
      <c r="T90" s="4" t="str">
        <f t="shared" si="105"/>
        <v>1+0,00498576333528949i</v>
      </c>
      <c r="U90" s="4">
        <f t="shared" si="119"/>
        <v>1.0000124288407797</v>
      </c>
      <c r="V90" s="4">
        <f t="shared" si="120"/>
        <v>4.9857220241431308E-3</v>
      </c>
      <c r="W90" t="str">
        <f t="shared" si="106"/>
        <v>1-0,00131217207023803i</v>
      </c>
      <c r="X90" s="4">
        <f t="shared" si="121"/>
        <v>1.0000008608974005</v>
      </c>
      <c r="Y90" s="4">
        <f t="shared" si="122"/>
        <v>-1.3121713171414676E-3</v>
      </c>
      <c r="Z90" t="str">
        <f t="shared" si="107"/>
        <v>0,999999988983085+0,000180281829547072i</v>
      </c>
      <c r="AA90" s="4">
        <f t="shared" si="123"/>
        <v>1.000000005233854</v>
      </c>
      <c r="AB90" s="4">
        <f t="shared" si="124"/>
        <v>1.8028182958007604E-4</v>
      </c>
      <c r="AC90" s="47" t="str">
        <f t="shared" si="125"/>
        <v>17,341018568056-25,3343425860734i</v>
      </c>
      <c r="AD90" s="20">
        <f t="shared" si="126"/>
        <v>29.742997160121764</v>
      </c>
      <c r="AE90" s="43">
        <f t="shared" si="127"/>
        <v>-55.608881768508837</v>
      </c>
      <c r="AF90" t="str">
        <f t="shared" si="108"/>
        <v>171,265703090588</v>
      </c>
      <c r="AG90" t="str">
        <f t="shared" si="109"/>
        <v>1+1,45786771908622i</v>
      </c>
      <c r="AH90">
        <f t="shared" si="128"/>
        <v>1.7678739452669292</v>
      </c>
      <c r="AI90">
        <f t="shared" si="129"/>
        <v>0.96957362612303233</v>
      </c>
      <c r="AJ90" t="str">
        <f t="shared" si="110"/>
        <v>1+0,00498576333528949i</v>
      </c>
      <c r="AK90">
        <f t="shared" si="130"/>
        <v>1.0000124288407797</v>
      </c>
      <c r="AL90">
        <f t="shared" si="131"/>
        <v>4.9857220241431308E-3</v>
      </c>
      <c r="AM90" t="str">
        <f t="shared" si="111"/>
        <v>1-0,000414560486320728i</v>
      </c>
      <c r="AN90">
        <f t="shared" si="132"/>
        <v>1.0000000859301947</v>
      </c>
      <c r="AO90">
        <f t="shared" si="133"/>
        <v>-4.1456046257188722E-4</v>
      </c>
      <c r="AP90" s="41" t="str">
        <f t="shared" si="134"/>
        <v>55,1636927550835-79,6384766633283i</v>
      </c>
      <c r="AQ90">
        <f t="shared" si="135"/>
        <v>39.724490831450481</v>
      </c>
      <c r="AR90" s="43">
        <f t="shared" si="136"/>
        <v>-55.290568439094521</v>
      </c>
      <c r="AS90" t="str">
        <f t="shared" si="112"/>
        <v>-0,0000166666666666667</v>
      </c>
      <c r="AT90" t="str">
        <f t="shared" si="113"/>
        <v>5,05501004827962E-07i</v>
      </c>
      <c r="AU90">
        <f t="shared" si="137"/>
        <v>5.0550100482796201E-7</v>
      </c>
      <c r="AV90">
        <f t="shared" si="138"/>
        <v>1.5707963267948966</v>
      </c>
      <c r="AW90" t="str">
        <f t="shared" si="114"/>
        <v>1+0,00234242445395749i</v>
      </c>
      <c r="AX90">
        <f t="shared" si="139"/>
        <v>1.0000027434723979</v>
      </c>
      <c r="AY90">
        <f t="shared" si="140"/>
        <v>2.3424201697144955E-3</v>
      </c>
      <c r="AZ90" t="str">
        <f t="shared" si="115"/>
        <v>1+0,108816263270207i</v>
      </c>
      <c r="BA90">
        <f t="shared" si="141"/>
        <v>1.0059030664791171</v>
      </c>
      <c r="BB90">
        <f t="shared" si="142"/>
        <v>0.1083897920616901</v>
      </c>
      <c r="BC90" s="41" t="str">
        <f t="shared" si="143"/>
        <v>-3,51048608494901+32,9788136258896i</v>
      </c>
      <c r="BD90">
        <f t="shared" si="144"/>
        <v>30.413633340414677</v>
      </c>
      <c r="BE90" s="43">
        <f t="shared" si="145"/>
        <v>96.076066837864474</v>
      </c>
      <c r="BF90" s="41" t="str">
        <f t="shared" si="146"/>
        <v>774,62115809855+660,822076558752i</v>
      </c>
      <c r="BG90" s="20">
        <f t="shared" si="147"/>
        <v>60.156630500536451</v>
      </c>
      <c r="BH90" s="43">
        <f t="shared" si="148"/>
        <v>40.467185069355644</v>
      </c>
      <c r="BI90" s="41" t="str">
        <f t="shared" si="101"/>
        <v>2432,73110351854+2098,80290643889i</v>
      </c>
      <c r="BJ90" s="20">
        <f t="shared" si="149"/>
        <v>70.138124171865158</v>
      </c>
      <c r="BK90" s="43">
        <f t="shared" si="102"/>
        <v>40.785498398770009</v>
      </c>
      <c r="BL90">
        <f t="shared" si="150"/>
        <v>60.156630500536451</v>
      </c>
      <c r="BM90" s="43">
        <f t="shared" si="151"/>
        <v>40.467185069355644</v>
      </c>
    </row>
    <row r="91" spans="14:65" x14ac:dyDescent="0.25">
      <c r="N91" s="9">
        <v>73</v>
      </c>
      <c r="O91" s="34">
        <f t="shared" si="116"/>
        <v>53.703179637025293</v>
      </c>
      <c r="P91" s="33" t="str">
        <f t="shared" si="103"/>
        <v>54,631621870174</v>
      </c>
      <c r="Q91" s="4" t="str">
        <f t="shared" si="104"/>
        <v>1+1,50624056912321i</v>
      </c>
      <c r="R91" s="4">
        <f t="shared" si="117"/>
        <v>1.8079714190419633</v>
      </c>
      <c r="S91" s="4">
        <f t="shared" si="118"/>
        <v>0.98470838129764993</v>
      </c>
      <c r="T91" s="4" t="str">
        <f t="shared" si="105"/>
        <v>1+0,00510189668217205i</v>
      </c>
      <c r="U91" s="4">
        <f t="shared" si="119"/>
        <v>1.000013014590188</v>
      </c>
      <c r="V91" s="4">
        <f t="shared" si="120"/>
        <v>5.101852416512319E-3</v>
      </c>
      <c r="W91" t="str">
        <f t="shared" si="106"/>
        <v>1-0,00134273648414111i</v>
      </c>
      <c r="X91" s="4">
        <f t="shared" si="121"/>
        <v>1.0000009014702267</v>
      </c>
      <c r="Y91" s="4">
        <f t="shared" si="122"/>
        <v>-1.3427356771836441E-3</v>
      </c>
      <c r="Z91" t="str">
        <f t="shared" si="107"/>
        <v>0,999999988463874+0,000184481132811072i</v>
      </c>
      <c r="AA91" s="4">
        <f t="shared" si="123"/>
        <v>1.000000005480518</v>
      </c>
      <c r="AB91" s="4">
        <f t="shared" si="124"/>
        <v>1.8448113284643639E-4</v>
      </c>
      <c r="AC91" s="47" t="str">
        <f t="shared" si="125"/>
        <v>16,8033677022935-25,1146236896434i</v>
      </c>
      <c r="AD91" s="20">
        <f t="shared" si="126"/>
        <v>29.605171485814306</v>
      </c>
      <c r="AE91" s="43">
        <f t="shared" si="127"/>
        <v>-56.214822765965764</v>
      </c>
      <c r="AF91" t="str">
        <f t="shared" si="108"/>
        <v>171,265703090588</v>
      </c>
      <c r="AG91" t="str">
        <f t="shared" si="109"/>
        <v>1+1,49182582061326i</v>
      </c>
      <c r="AH91">
        <f t="shared" si="128"/>
        <v>1.7959800330316666</v>
      </c>
      <c r="AI91">
        <f t="shared" si="129"/>
        <v>0.98026907172383482</v>
      </c>
      <c r="AJ91" t="str">
        <f t="shared" si="110"/>
        <v>1+0,00510189668217205i</v>
      </c>
      <c r="AK91">
        <f t="shared" si="130"/>
        <v>1.000013014590188</v>
      </c>
      <c r="AL91">
        <f t="shared" si="131"/>
        <v>5.101852416512319E-3</v>
      </c>
      <c r="AM91" t="str">
        <f t="shared" si="111"/>
        <v>1-0,000424216840528502i</v>
      </c>
      <c r="AN91">
        <f t="shared" si="132"/>
        <v>1.0000000899799599</v>
      </c>
      <c r="AO91">
        <f t="shared" si="133"/>
        <v>-4.2421681508116076E-4</v>
      </c>
      <c r="AP91" s="41" t="str">
        <f t="shared" si="134"/>
        <v>53,4673219414985-78,9628053044576i</v>
      </c>
      <c r="AQ91">
        <f t="shared" si="135"/>
        <v>39.587491778854101</v>
      </c>
      <c r="AR91" s="43">
        <f t="shared" si="136"/>
        <v>-55.897271818920579</v>
      </c>
      <c r="AS91" t="str">
        <f t="shared" si="112"/>
        <v>-0,0000166666666666667</v>
      </c>
      <c r="AT91" t="str">
        <f t="shared" si="113"/>
        <v>5,17275635831333E-07i</v>
      </c>
      <c r="AU91">
        <f t="shared" si="137"/>
        <v>5.1727563583133301E-7</v>
      </c>
      <c r="AV91">
        <f t="shared" si="138"/>
        <v>1.5707963267948966</v>
      </c>
      <c r="AW91" t="str">
        <f t="shared" si="114"/>
        <v>1+0,00239698652868177i</v>
      </c>
      <c r="AX91">
        <f t="shared" si="139"/>
        <v>1.000002872768083</v>
      </c>
      <c r="AY91">
        <f t="shared" si="140"/>
        <v>2.3969819380334051E-3</v>
      </c>
      <c r="AZ91" t="str">
        <f t="shared" si="115"/>
        <v>1+0,11135091965058i</v>
      </c>
      <c r="BA91">
        <f t="shared" si="141"/>
        <v>1.0061804148894125</v>
      </c>
      <c r="BB91">
        <f t="shared" si="142"/>
        <v>0.11089409897981985</v>
      </c>
      <c r="BC91" s="41" t="str">
        <f t="shared" si="143"/>
        <v>-3,51048517717026+32,2285028948471i</v>
      </c>
      <c r="BD91">
        <f t="shared" si="144"/>
        <v>30.216026767815315</v>
      </c>
      <c r="BE91" s="43">
        <f t="shared" si="145"/>
        <v>96.216426895831276</v>
      </c>
      <c r="BF91" s="41" t="str">
        <f t="shared" si="146"/>
        <v>750,418749039225+629,711898829248i</v>
      </c>
      <c r="BG91" s="20">
        <f t="shared" si="147"/>
        <v>59.821198253629618</v>
      </c>
      <c r="BH91" s="43">
        <f t="shared" si="148"/>
        <v>40.001604129865498</v>
      </c>
      <c r="BI91" s="41" t="str">
        <f t="shared" si="101"/>
        <v>2357,15675820134+2000,36949754039i</v>
      </c>
      <c r="BJ91" s="20">
        <f t="shared" si="149"/>
        <v>69.803518546669437</v>
      </c>
      <c r="BK91" s="43">
        <f t="shared" si="102"/>
        <v>40.319155076910761</v>
      </c>
      <c r="BL91">
        <f t="shared" si="150"/>
        <v>59.821198253629618</v>
      </c>
      <c r="BM91" s="43">
        <f t="shared" si="151"/>
        <v>40.001604129865498</v>
      </c>
    </row>
    <row r="92" spans="14:65" x14ac:dyDescent="0.25">
      <c r="N92" s="9">
        <v>74</v>
      </c>
      <c r="O92" s="34">
        <f t="shared" si="116"/>
        <v>54.95408738576247</v>
      </c>
      <c r="P92" s="33" t="str">
        <f t="shared" si="103"/>
        <v>54,631621870174</v>
      </c>
      <c r="Q92" s="4" t="str">
        <f t="shared" si="104"/>
        <v>1+1,54132541907276i</v>
      </c>
      <c r="R92" s="4">
        <f t="shared" si="117"/>
        <v>1.8373034717976831</v>
      </c>
      <c r="S92" s="4">
        <f t="shared" si="118"/>
        <v>0.9952706020993507</v>
      </c>
      <c r="T92" s="4" t="str">
        <f t="shared" si="105"/>
        <v>1+0,00522073512220709i</v>
      </c>
      <c r="U92" s="4">
        <f t="shared" si="119"/>
        <v>1.0000136279447476</v>
      </c>
      <c r="V92" s="4">
        <f t="shared" si="120"/>
        <v>5.2206876907330401E-3</v>
      </c>
      <c r="W92" t="str">
        <f t="shared" si="106"/>
        <v>1-0,00137401283470129i</v>
      </c>
      <c r="X92" s="4">
        <f t="shared" si="121"/>
        <v>1.0000009439551896</v>
      </c>
      <c r="Y92" s="4">
        <f t="shared" si="122"/>
        <v>-1.3740119700308309E-3</v>
      </c>
      <c r="Z92" t="str">
        <f t="shared" si="107"/>
        <v>0,999999987920193+0,000188778250413585i</v>
      </c>
      <c r="AA92" s="4">
        <f t="shared" si="123"/>
        <v>1.000000005738807</v>
      </c>
      <c r="AB92" s="4">
        <f t="shared" si="124"/>
        <v>1.8877825045147866E-4</v>
      </c>
      <c r="AC92" s="47" t="str">
        <f t="shared" si="125"/>
        <v>16,2752404621178-24,88560248914i</v>
      </c>
      <c r="AD92" s="20">
        <f t="shared" si="126"/>
        <v>29.465390481029189</v>
      </c>
      <c r="AE92" s="43">
        <f t="shared" si="127"/>
        <v>-56.815222886800164</v>
      </c>
      <c r="AF92" t="str">
        <f t="shared" si="108"/>
        <v>171,265703090588</v>
      </c>
      <c r="AG92" t="str">
        <f t="shared" si="109"/>
        <v>1+1,52657490793703i</v>
      </c>
      <c r="AH92">
        <f t="shared" si="128"/>
        <v>1.8249468347168232</v>
      </c>
      <c r="AI92">
        <f t="shared" si="129"/>
        <v>0.99087136511255036</v>
      </c>
      <c r="AJ92" t="str">
        <f t="shared" si="110"/>
        <v>1+0,00522073512220709i</v>
      </c>
      <c r="AK92">
        <f t="shared" si="130"/>
        <v>1.0000136279447476</v>
      </c>
      <c r="AL92">
        <f t="shared" si="131"/>
        <v>5.2206876907330401E-3</v>
      </c>
      <c r="AM92" t="str">
        <f t="shared" si="111"/>
        <v>1-0,000434098120120299i</v>
      </c>
      <c r="AN92">
        <f t="shared" si="132"/>
        <v>1.0000000942205847</v>
      </c>
      <c r="AO92">
        <f t="shared" si="133"/>
        <v>-4.3409809285298176E-4</v>
      </c>
      <c r="AP92" s="41" t="str">
        <f t="shared" si="134"/>
        <v>51,8003705017565-78,2573590782211i</v>
      </c>
      <c r="AQ92">
        <f t="shared" si="135"/>
        <v>39.448522886392965</v>
      </c>
      <c r="AR92" s="43">
        <f t="shared" si="136"/>
        <v>-56.49849587909582</v>
      </c>
      <c r="AS92" t="str">
        <f t="shared" si="112"/>
        <v>-0,0000166666666666667</v>
      </c>
      <c r="AT92" t="str">
        <f t="shared" si="113"/>
        <v>5,29324533223774E-07i</v>
      </c>
      <c r="AU92">
        <f t="shared" si="137"/>
        <v>5.2932453322377404E-7</v>
      </c>
      <c r="AV92">
        <f t="shared" si="138"/>
        <v>1.5707963267948966</v>
      </c>
      <c r="AW92" t="str">
        <f t="shared" si="114"/>
        <v>1+0,00245281951739143i</v>
      </c>
      <c r="AX92">
        <f t="shared" si="139"/>
        <v>1.0000030081572679</v>
      </c>
      <c r="AY92">
        <f t="shared" si="140"/>
        <v>2.4528145984238823E-3</v>
      </c>
      <c r="AZ92" t="str">
        <f t="shared" si="115"/>
        <v>1+0,113944615762456i</v>
      </c>
      <c r="BA92">
        <f t="shared" si="141"/>
        <v>1.0064707524122367</v>
      </c>
      <c r="BB92">
        <f t="shared" si="142"/>
        <v>0.1134552934011145</v>
      </c>
      <c r="BC92" s="41" t="str">
        <f t="shared" si="143"/>
        <v>-3,51048422660974+31,4952801424289i</v>
      </c>
      <c r="BD92">
        <f t="shared" si="144"/>
        <v>30.018531579705922</v>
      </c>
      <c r="BE92" s="43">
        <f t="shared" si="145"/>
        <v>96.359973550884575</v>
      </c>
      <c r="BF92" s="41" t="str">
        <f t="shared" si="146"/>
        <v>726,645046982045+599,9537727476i</v>
      </c>
      <c r="BG92" s="20">
        <f t="shared" si="147"/>
        <v>59.483922060735111</v>
      </c>
      <c r="BH92" s="43">
        <f t="shared" si="148"/>
        <v>39.544750664084411</v>
      </c>
      <c r="BI92" s="41" t="str">
        <f t="shared" si="101"/>
        <v>2282,89306379627+1906,18840509466i</v>
      </c>
      <c r="BJ92" s="20">
        <f t="shared" si="149"/>
        <v>69.467054466098887</v>
      </c>
      <c r="BK92" s="43">
        <f t="shared" si="102"/>
        <v>39.861477671788734</v>
      </c>
      <c r="BL92">
        <f t="shared" si="150"/>
        <v>59.483922060735111</v>
      </c>
      <c r="BM92" s="43">
        <f t="shared" si="151"/>
        <v>39.544750664084411</v>
      </c>
    </row>
    <row r="93" spans="14:65" x14ac:dyDescent="0.25">
      <c r="N93" s="9">
        <v>75</v>
      </c>
      <c r="O93" s="34">
        <f t="shared" si="116"/>
        <v>56.234132519034915</v>
      </c>
      <c r="P93" s="33" t="str">
        <f t="shared" si="103"/>
        <v>54,631621870174</v>
      </c>
      <c r="Q93" s="4" t="str">
        <f t="shared" si="104"/>
        <v>1+1,57722750016135i</v>
      </c>
      <c r="R93" s="4">
        <f t="shared" si="117"/>
        <v>1.8675241865275056</v>
      </c>
      <c r="S93" s="4">
        <f t="shared" si="118"/>
        <v>1.005734184954862</v>
      </c>
      <c r="T93" s="4" t="str">
        <f t="shared" si="105"/>
        <v>1+0,00534234166510852i</v>
      </c>
      <c r="U93" s="4">
        <f t="shared" si="119"/>
        <v>1.000014270205414</v>
      </c>
      <c r="V93" s="4">
        <f t="shared" si="120"/>
        <v>5.3422908414075699E-3</v>
      </c>
      <c r="W93" t="str">
        <f t="shared" si="106"/>
        <v>1-0,00140601770505365i</v>
      </c>
      <c r="X93" s="4">
        <f t="shared" si="121"/>
        <v>1.0000009884424048</v>
      </c>
      <c r="Y93" s="4">
        <f t="shared" si="122"/>
        <v>-1.4060167785426099E-3</v>
      </c>
      <c r="Z93" t="str">
        <f t="shared" si="107"/>
        <v>0,999999987350889+0,000193175460743243i</v>
      </c>
      <c r="AA93" s="4">
        <f t="shared" si="123"/>
        <v>1.0000000060092684</v>
      </c>
      <c r="AB93" s="4">
        <f t="shared" si="124"/>
        <v>1.9317546078384684E-4</v>
      </c>
      <c r="AC93" s="47" t="str">
        <f t="shared" si="125"/>
        <v>15,7569309014978-24,6477705470158i</v>
      </c>
      <c r="AD93" s="20">
        <f t="shared" si="126"/>
        <v>29.323689654879274</v>
      </c>
      <c r="AE93" s="43">
        <f t="shared" si="127"/>
        <v>-57.409860357742723</v>
      </c>
      <c r="AF93" t="str">
        <f t="shared" si="108"/>
        <v>171,265703090588</v>
      </c>
      <c r="AG93" t="str">
        <f t="shared" si="109"/>
        <v>1+1,5621334054836i</v>
      </c>
      <c r="AH93">
        <f t="shared" si="128"/>
        <v>1.8547939984073136</v>
      </c>
      <c r="AI93">
        <f t="shared" si="129"/>
        <v>1.0013765933344376</v>
      </c>
      <c r="AJ93" t="str">
        <f t="shared" si="110"/>
        <v>1+0,00534234166510852i</v>
      </c>
      <c r="AK93">
        <f t="shared" si="130"/>
        <v>1.000014270205414</v>
      </c>
      <c r="AL93">
        <f t="shared" si="131"/>
        <v>5.3422908414075699E-3</v>
      </c>
      <c r="AM93" t="str">
        <f t="shared" si="111"/>
        <v>1-0,00044420956428135i</v>
      </c>
      <c r="AN93">
        <f t="shared" si="132"/>
        <v>1.0000000986610638</v>
      </c>
      <c r="AO93">
        <f t="shared" si="133"/>
        <v>-4.442095350638933E-4</v>
      </c>
      <c r="AP93" s="41" t="str">
        <f t="shared" si="134"/>
        <v>50,1638004760933-77,5236664316408i</v>
      </c>
      <c r="AQ93">
        <f t="shared" si="135"/>
        <v>39.307619201832495</v>
      </c>
      <c r="AR93" s="43">
        <f t="shared" si="136"/>
        <v>-57.094013114686049</v>
      </c>
      <c r="AS93" t="str">
        <f t="shared" si="112"/>
        <v>-0,0000166666666666667</v>
      </c>
      <c r="AT93" t="str">
        <f t="shared" si="113"/>
        <v>5,4165408549017E-07i</v>
      </c>
      <c r="AU93">
        <f t="shared" si="137"/>
        <v>5.4165408549016995E-7</v>
      </c>
      <c r="AV93">
        <f t="shared" si="138"/>
        <v>1.5707963267948966</v>
      </c>
      <c r="AW93" t="str">
        <f t="shared" si="114"/>
        <v>1+0,00250995302347611i</v>
      </c>
      <c r="AX93">
        <f t="shared" si="139"/>
        <v>1.0000031499271291</v>
      </c>
      <c r="AY93">
        <f t="shared" si="140"/>
        <v>2.5099477527083178E-3</v>
      </c>
      <c r="AZ93" t="str">
        <f t="shared" si="115"/>
        <v>1+0,116598726817845i</v>
      </c>
      <c r="BA93">
        <f t="shared" si="141"/>
        <v>1.0067746833803195</v>
      </c>
      <c r="BB93">
        <f t="shared" si="142"/>
        <v>0.11607459882627152</v>
      </c>
      <c r="BC93" s="41" t="str">
        <f t="shared" si="143"/>
        <v>-3,51048323125122+30,7787566042117i</v>
      </c>
      <c r="BD93">
        <f t="shared" si="144"/>
        <v>29.821152890819551</v>
      </c>
      <c r="BE93" s="43">
        <f t="shared" si="145"/>
        <v>96.506775208390991</v>
      </c>
      <c r="BF93" s="41" t="str">
        <f t="shared" si="146"/>
        <v>703,313288797365+571,50432623961i</v>
      </c>
      <c r="BG93" s="20">
        <f t="shared" si="147"/>
        <v>59.144842545698822</v>
      </c>
      <c r="BH93" s="43">
        <f t="shared" si="148"/>
        <v>39.096914850648304</v>
      </c>
      <c r="BI93" s="41" t="str">
        <f t="shared" si="101"/>
        <v>2209,98287977841+1816,1249362293i</v>
      </c>
      <c r="BJ93" s="20">
        <f t="shared" si="149"/>
        <v>69.128772092652028</v>
      </c>
      <c r="BK93" s="43">
        <f t="shared" si="102"/>
        <v>39.412762093704927</v>
      </c>
      <c r="BL93">
        <f t="shared" si="150"/>
        <v>59.144842545698822</v>
      </c>
      <c r="BM93" s="43">
        <f t="shared" si="151"/>
        <v>39.096914850648304</v>
      </c>
    </row>
    <row r="94" spans="14:65" x14ac:dyDescent="0.25">
      <c r="N94" s="9">
        <v>76</v>
      </c>
      <c r="O94" s="34">
        <f t="shared" si="116"/>
        <v>57.543993733715695</v>
      </c>
      <c r="P94" s="33" t="str">
        <f t="shared" si="103"/>
        <v>54,631621870174</v>
      </c>
      <c r="Q94" s="4" t="str">
        <f t="shared" si="104"/>
        <v>1+1,61396584814761i</v>
      </c>
      <c r="R94" s="4">
        <f t="shared" si="117"/>
        <v>1.8986536701006937</v>
      </c>
      <c r="S94" s="4">
        <f t="shared" si="118"/>
        <v>1.016095512573699</v>
      </c>
      <c r="T94" s="4" t="str">
        <f t="shared" si="105"/>
        <v>1+0,00546678078827505i</v>
      </c>
      <c r="U94" s="4">
        <f t="shared" si="119"/>
        <v>1.0000149427344509</v>
      </c>
      <c r="V94" s="4">
        <f t="shared" si="120"/>
        <v>5.4667263297422681E-3</v>
      </c>
      <c r="W94" t="str">
        <f t="shared" si="106"/>
        <v>1-0,00143876806460407i</v>
      </c>
      <c r="X94" s="4">
        <f t="shared" si="121"/>
        <v>1.0000010350262363</v>
      </c>
      <c r="Y94" s="4">
        <f t="shared" si="122"/>
        <v>-1.4387670718296595E-3</v>
      </c>
      <c r="Z94" t="str">
        <f t="shared" si="107"/>
        <v>0,999999986754755+0,000197675095259167i</v>
      </c>
      <c r="AA94" s="4">
        <f t="shared" si="123"/>
        <v>1.0000000062924765</v>
      </c>
      <c r="AB94" s="4">
        <f t="shared" si="124"/>
        <v>1.9767509530267476E-4</v>
      </c>
      <c r="AC94" s="47" t="str">
        <f t="shared" si="125"/>
        <v>15,248701828416-24,4016265131885i</v>
      </c>
      <c r="AD94" s="20">
        <f t="shared" si="126"/>
        <v>29.180105538750528</v>
      </c>
      <c r="AE94" s="43">
        <f t="shared" si="127"/>
        <v>-57.998525335801808</v>
      </c>
      <c r="AF94" t="str">
        <f t="shared" si="108"/>
        <v>171,265703090588</v>
      </c>
      <c r="AG94" t="str">
        <f t="shared" si="109"/>
        <v>1+1,59852016683904i</v>
      </c>
      <c r="AH94">
        <f t="shared" si="128"/>
        <v>1.8855414935214534</v>
      </c>
      <c r="AI94">
        <f t="shared" si="129"/>
        <v>1.0117810513507464</v>
      </c>
      <c r="AJ94" t="str">
        <f t="shared" si="110"/>
        <v>1+0,00546678078827505i</v>
      </c>
      <c r="AK94">
        <f t="shared" si="130"/>
        <v>1.0000149427344509</v>
      </c>
      <c r="AL94">
        <f t="shared" si="131"/>
        <v>5.4667263297422681E-3</v>
      </c>
      <c r="AM94" t="str">
        <f t="shared" si="111"/>
        <v>1-0,000454556534233193i</v>
      </c>
      <c r="AN94">
        <f t="shared" si="132"/>
        <v>1.0000001033108161</v>
      </c>
      <c r="AO94">
        <f t="shared" si="133"/>
        <v>-4.5455650292612425E-4</v>
      </c>
      <c r="AP94" s="41" t="str">
        <f t="shared" si="134"/>
        <v>48,5584759590241-76,7632809805525i</v>
      </c>
      <c r="AQ94">
        <f t="shared" si="135"/>
        <v>39.164816843083855</v>
      </c>
      <c r="AR94" s="43">
        <f t="shared" si="136"/>
        <v>-57.683607856427592</v>
      </c>
      <c r="AS94" t="str">
        <f t="shared" si="112"/>
        <v>-0,0000166666666666667</v>
      </c>
      <c r="AT94" t="str">
        <f t="shared" si="113"/>
        <v>5,54270829922331E-07i</v>
      </c>
      <c r="AU94">
        <f t="shared" si="137"/>
        <v>5.5427082992233099E-7</v>
      </c>
      <c r="AV94">
        <f t="shared" si="138"/>
        <v>1.5707963267948966</v>
      </c>
      <c r="AW94" t="str">
        <f t="shared" si="114"/>
        <v>1+0,00256841733987699i</v>
      </c>
      <c r="AX94">
        <f t="shared" si="139"/>
        <v>1.0000032983783762</v>
      </c>
      <c r="AY94">
        <f t="shared" si="140"/>
        <v>2.5684116921485534E-3</v>
      </c>
      <c r="AZ94" t="str">
        <f t="shared" si="115"/>
        <v>1+0,119314660061559i</v>
      </c>
      <c r="BA94">
        <f t="shared" si="141"/>
        <v>1.0070928398641334</v>
      </c>
      <c r="BB94">
        <f t="shared" si="142"/>
        <v>0.11875326020461446</v>
      </c>
      <c r="BC94" s="41" t="str">
        <f t="shared" si="143"/>
        <v>-3,51048218898352+30,0785523699156i</v>
      </c>
      <c r="BD94">
        <f t="shared" si="144"/>
        <v>29.623896044209317</v>
      </c>
      <c r="BE94" s="43">
        <f t="shared" si="145"/>
        <v>96.656901463131106</v>
      </c>
      <c r="BF94" s="41" t="str">
        <f t="shared" si="146"/>
        <v>680,435304814286+544,320351776015i</v>
      </c>
      <c r="BG94" s="20">
        <f t="shared" si="147"/>
        <v>58.804001582959849</v>
      </c>
      <c r="BH94" s="43">
        <f t="shared" si="148"/>
        <v>38.65837612732934</v>
      </c>
      <c r="BI94" s="41" t="str">
        <f t="shared" si="101"/>
        <v>2138,46470208176+1730,04479278696i</v>
      </c>
      <c r="BJ94" s="20">
        <f t="shared" si="149"/>
        <v>68.788712887293173</v>
      </c>
      <c r="BK94" s="43">
        <f t="shared" si="102"/>
        <v>38.97329360670345</v>
      </c>
      <c r="BL94">
        <f t="shared" si="150"/>
        <v>58.804001582959849</v>
      </c>
      <c r="BM94" s="43">
        <f t="shared" si="151"/>
        <v>38.65837612732934</v>
      </c>
    </row>
    <row r="95" spans="14:65" x14ac:dyDescent="0.25">
      <c r="N95" s="9">
        <v>77</v>
      </c>
      <c r="O95" s="34">
        <f t="shared" si="116"/>
        <v>58.884365535558949</v>
      </c>
      <c r="P95" s="33" t="str">
        <f t="shared" si="103"/>
        <v>54,631621870174</v>
      </c>
      <c r="Q95" s="4" t="str">
        <f t="shared" si="104"/>
        <v>1+1,65155994218991i</v>
      </c>
      <c r="R95" s="4">
        <f t="shared" si="117"/>
        <v>1.9307123666269759</v>
      </c>
      <c r="S95" s="4">
        <f t="shared" si="118"/>
        <v>1.0263511794372666</v>
      </c>
      <c r="T95" s="4" t="str">
        <f t="shared" si="105"/>
        <v>1+0,00559411847097692i</v>
      </c>
      <c r="U95" s="4">
        <f t="shared" si="119"/>
        <v>1.0000156469583199</v>
      </c>
      <c r="V95" s="4">
        <f t="shared" si="120"/>
        <v>5.5940601176570209E-3</v>
      </c>
      <c r="W95" t="str">
        <f t="shared" si="106"/>
        <v>1-0,00147228127802668i</v>
      </c>
      <c r="X95" s="4">
        <f t="shared" si="121"/>
        <v>1.0000010838054934</v>
      </c>
      <c r="Y95" s="4">
        <f t="shared" si="122"/>
        <v>-1.4722802142497957E-3</v>
      </c>
      <c r="Z95" t="str">
        <f t="shared" si="107"/>
        <v>0,999999986130526+0,000202279539727136i</v>
      </c>
      <c r="AA95" s="4">
        <f t="shared" si="123"/>
        <v>1.0000000065890322</v>
      </c>
      <c r="AB95" s="4">
        <f t="shared" si="124"/>
        <v>2.0227953977375538E-4</v>
      </c>
      <c r="AC95" s="47" t="str">
        <f t="shared" si="125"/>
        <v>14,7507849837652-24,147673900395i</v>
      </c>
      <c r="AD95" s="20">
        <f t="shared" si="126"/>
        <v>29.034675571942941</v>
      </c>
      <c r="AE95" s="43">
        <f t="shared" si="127"/>
        <v>-58.581020051393445</v>
      </c>
      <c r="AF95" t="str">
        <f t="shared" si="108"/>
        <v>171,265703090588</v>
      </c>
      <c r="AG95" t="str">
        <f t="shared" si="109"/>
        <v>1+1,63575448474585i</v>
      </c>
      <c r="AH95">
        <f t="shared" si="128"/>
        <v>1.9172096219157051</v>
      </c>
      <c r="AI95">
        <f t="shared" si="129"/>
        <v>1.0220812449555965</v>
      </c>
      <c r="AJ95" t="str">
        <f t="shared" si="110"/>
        <v>1+0,00559411847097692i</v>
      </c>
      <c r="AK95">
        <f t="shared" si="130"/>
        <v>1.0000156469583199</v>
      </c>
      <c r="AL95">
        <f t="shared" si="131"/>
        <v>5.5940601176570209E-3</v>
      </c>
      <c r="AM95" t="str">
        <f t="shared" si="111"/>
        <v>1-0,000465144516076253i</v>
      </c>
      <c r="AN95">
        <f t="shared" si="132"/>
        <v>1.0000001081797045</v>
      </c>
      <c r="AO95">
        <f t="shared" si="133"/>
        <v>-4.6514448253012465E-4</v>
      </c>
      <c r="AP95" s="41" t="str">
        <f t="shared" si="134"/>
        <v>46,9851634250371-75,9777744585017i</v>
      </c>
      <c r="AQ95">
        <f t="shared" si="135"/>
        <v>39.020152883625371</v>
      </c>
      <c r="AR95" s="43">
        <f t="shared" si="136"/>
        <v>-58.267076436061096</v>
      </c>
      <c r="AS95" t="str">
        <f t="shared" si="112"/>
        <v>-0,0000166666666666667</v>
      </c>
      <c r="AT95" t="str">
        <f t="shared" si="113"/>
        <v>5,67181456085159E-07i</v>
      </c>
      <c r="AU95">
        <f t="shared" si="137"/>
        <v>5.6718145608515901E-7</v>
      </c>
      <c r="AV95">
        <f t="shared" si="138"/>
        <v>1.5707963267948966</v>
      </c>
      <c r="AW95" t="str">
        <f t="shared" si="114"/>
        <v>1+0,0026282434651485i</v>
      </c>
      <c r="AX95">
        <f t="shared" si="139"/>
        <v>1.0000034538258915</v>
      </c>
      <c r="AY95">
        <f t="shared" si="140"/>
        <v>2.6282374134995782E-3</v>
      </c>
      <c r="AZ95" t="str">
        <f t="shared" si="115"/>
        <v>1+0,122093855517353i</v>
      </c>
      <c r="BA95">
        <f t="shared" si="141"/>
        <v>1.0074258829090565</v>
      </c>
      <c r="BB95">
        <f t="shared" si="142"/>
        <v>0.12149254395502486</v>
      </c>
      <c r="BC95" s="41" t="str">
        <f t="shared" si="143"/>
        <v>-3,51048109759589+29,3942961819704i</v>
      </c>
      <c r="BD95">
        <f t="shared" si="144"/>
        <v>29.426766620818672</v>
      </c>
      <c r="BE95" s="43">
        <f t="shared" si="145"/>
        <v>96.810423099578642</v>
      </c>
      <c r="BF95" s="41" t="str">
        <f t="shared" si="146"/>
        <v>658,021526873638+518,358895507602i</v>
      </c>
      <c r="BG95" s="20">
        <f t="shared" si="147"/>
        <v>58.461442192761616</v>
      </c>
      <c r="BH95" s="43">
        <f t="shared" si="148"/>
        <v>38.229403048185198</v>
      </c>
      <c r="BI95" s="41" t="str">
        <f t="shared" si="101"/>
        <v>2068,3726776091+1647,8143509478i</v>
      </c>
      <c r="BJ95" s="20">
        <f t="shared" si="149"/>
        <v>68.446919504444054</v>
      </c>
      <c r="BK95" s="43">
        <f t="shared" si="102"/>
        <v>38.543346663517582</v>
      </c>
      <c r="BL95">
        <f t="shared" si="150"/>
        <v>58.461442192761616</v>
      </c>
      <c r="BM95" s="43">
        <f t="shared" si="151"/>
        <v>38.229403048185198</v>
      </c>
    </row>
    <row r="96" spans="14:65" x14ac:dyDescent="0.25">
      <c r="N96" s="9">
        <v>78</v>
      </c>
      <c r="O96" s="34">
        <f t="shared" si="116"/>
        <v>60.255958607435822</v>
      </c>
      <c r="P96" s="33" t="str">
        <f t="shared" si="103"/>
        <v>54,631621870174</v>
      </c>
      <c r="Q96" s="4" t="str">
        <f t="shared" si="104"/>
        <v>1+1,69002971517454i</v>
      </c>
      <c r="R96" s="4">
        <f t="shared" si="117"/>
        <v>1.9637210693407903</v>
      </c>
      <c r="S96" s="4">
        <f t="shared" si="118"/>
        <v>1.0364979933960194</v>
      </c>
      <c r="T96" s="4" t="str">
        <f t="shared" si="105"/>
        <v>1+0,005724422229339i</v>
      </c>
      <c r="U96" s="4">
        <f t="shared" si="119"/>
        <v>1.0000163843707062</v>
      </c>
      <c r="V96" s="4">
        <f t="shared" si="120"/>
        <v>5.7243597026855322E-3</v>
      </c>
      <c r="W96" t="str">
        <f t="shared" si="106"/>
        <v>1-0,00150657511447086i</v>
      </c>
      <c r="X96" s="4">
        <f t="shared" si="121"/>
        <v>1.0000011348836437</v>
      </c>
      <c r="Y96" s="4">
        <f t="shared" si="122"/>
        <v>-1.506573974613462E-3</v>
      </c>
      <c r="Z96" t="str">
        <f t="shared" si="107"/>
        <v>0,999999985476878+0,000206991235484554i</v>
      </c>
      <c r="AA96" s="4">
        <f t="shared" si="123"/>
        <v>1.0000000068995638</v>
      </c>
      <c r="AB96" s="4">
        <f t="shared" si="124"/>
        <v>2.0699123553450749E-4</v>
      </c>
      <c r="AC96" s="47" t="str">
        <f t="shared" si="125"/>
        <v>14,2633813916674-23,8864189329031i</v>
      </c>
      <c r="AD96" s="20">
        <f t="shared" si="126"/>
        <v>28.887437988286347</v>
      </c>
      <c r="AE96" s="43">
        <f t="shared" si="127"/>
        <v>-59.157158898453972</v>
      </c>
      <c r="AF96" t="str">
        <f t="shared" si="108"/>
        <v>171,265703090588</v>
      </c>
      <c r="AG96" t="str">
        <f t="shared" si="109"/>
        <v>1+1,67385610133225i</v>
      </c>
      <c r="AH96">
        <f t="shared" si="128"/>
        <v>1.9498190295427931</v>
      </c>
      <c r="AI96">
        <f t="shared" si="129"/>
        <v>1.0322738927555779</v>
      </c>
      <c r="AJ96" t="str">
        <f t="shared" si="110"/>
        <v>1+0,005724422229339i</v>
      </c>
      <c r="AK96">
        <f t="shared" si="130"/>
        <v>1.0000163843707062</v>
      </c>
      <c r="AL96">
        <f t="shared" si="131"/>
        <v>5.7243597026855322E-3</v>
      </c>
      <c r="AM96" t="str">
        <f t="shared" si="111"/>
        <v>1-0,000475979123698652i</v>
      </c>
      <c r="AN96">
        <f t="shared" si="132"/>
        <v>1.0000001132780567</v>
      </c>
      <c r="AO96">
        <f t="shared" si="133"/>
        <v>-4.7597908775332806E-4</v>
      </c>
      <c r="AP96" s="41" t="str">
        <f t="shared" si="134"/>
        <v>45,4445326061673-75,1687298764071i</v>
      </c>
      <c r="AQ96">
        <f t="shared" si="135"/>
        <v>38.873665238634331</v>
      </c>
      <c r="AR96" s="43">
        <f t="shared" si="136"/>
        <v>-58.844227297920902</v>
      </c>
      <c r="AS96" t="str">
        <f t="shared" si="112"/>
        <v>-0,0000166666666666667</v>
      </c>
      <c r="AT96" t="str">
        <f t="shared" si="113"/>
        <v>5,80392809363538E-07i</v>
      </c>
      <c r="AU96">
        <f t="shared" si="137"/>
        <v>5.8039280936353801E-7</v>
      </c>
      <c r="AV96">
        <f t="shared" si="138"/>
        <v>1.5707963267948966</v>
      </c>
      <c r="AW96" t="str">
        <f t="shared" si="114"/>
        <v>1+0,00268946311989415i</v>
      </c>
      <c r="AX96">
        <f t="shared" si="139"/>
        <v>1.0000036165993966</v>
      </c>
      <c r="AY96">
        <f t="shared" si="140"/>
        <v>2.6894566354367685E-3</v>
      </c>
      <c r="AZ96" t="str">
        <f t="shared" si="115"/>
        <v>1+0,124937786751446i</v>
      </c>
      <c r="BA96">
        <f t="shared" si="141"/>
        <v>1.0077745038243178</v>
      </c>
      <c r="BB96">
        <f t="shared" si="142"/>
        <v>0.12429373795614224</v>
      </c>
      <c r="BC96" s="41" t="str">
        <f t="shared" si="143"/>
        <v>-3,51047995477347+28,7256252386697i</v>
      </c>
      <c r="BD96">
        <f t="shared" si="144"/>
        <v>29.229770449393232</v>
      </c>
      <c r="BE96" s="43">
        <f t="shared" si="145"/>
        <v>96.967412090397971</v>
      </c>
      <c r="BF96" s="41" t="str">
        <f t="shared" si="146"/>
        <v>636,081004097702+493,577343348531i</v>
      </c>
      <c r="BG96" s="20">
        <f t="shared" si="147"/>
        <v>58.117208437679579</v>
      </c>
      <c r="BH96" s="43">
        <f t="shared" si="148"/>
        <v>37.810253191944007</v>
      </c>
      <c r="BI96" s="41" t="str">
        <f t="shared" si="101"/>
        <v>1999,73664332847+1569,30093224818i</v>
      </c>
      <c r="BJ96" s="20">
        <f t="shared" si="149"/>
        <v>68.103435688027588</v>
      </c>
      <c r="BK96" s="43">
        <f t="shared" si="102"/>
        <v>38.123184792477069</v>
      </c>
      <c r="BL96">
        <f t="shared" si="150"/>
        <v>58.117208437679579</v>
      </c>
      <c r="BM96" s="43">
        <f t="shared" si="151"/>
        <v>37.810253191944007</v>
      </c>
    </row>
    <row r="97" spans="14:65" x14ac:dyDescent="0.25">
      <c r="N97" s="9">
        <v>79</v>
      </c>
      <c r="O97" s="34">
        <f t="shared" si="116"/>
        <v>61.659500186148257</v>
      </c>
      <c r="P97" s="33" t="str">
        <f t="shared" si="103"/>
        <v>54,631621870174</v>
      </c>
      <c r="Q97" s="4" t="str">
        <f t="shared" si="104"/>
        <v>1+1,72939556428435i</v>
      </c>
      <c r="R97" s="4">
        <f t="shared" si="117"/>
        <v>1.9977009330143449</v>
      </c>
      <c r="S97" s="4">
        <f t="shared" si="118"/>
        <v>1.0465329763755875</v>
      </c>
      <c r="T97" s="4" t="str">
        <f t="shared" si="105"/>
        <v>1+0,00585776115213878i</v>
      </c>
      <c r="U97" s="4">
        <f t="shared" si="119"/>
        <v>1.0000171565356843</v>
      </c>
      <c r="V97" s="4">
        <f t="shared" si="120"/>
        <v>5.8576941536845782E-3</v>
      </c>
      <c r="W97" t="str">
        <f t="shared" si="106"/>
        <v>1-0,00154166775698261i</v>
      </c>
      <c r="X97" s="4">
        <f t="shared" si="121"/>
        <v>1.0000011883690303</v>
      </c>
      <c r="Y97" s="4">
        <f t="shared" si="122"/>
        <v>-1.5416665356034812E-3</v>
      </c>
      <c r="Z97" t="str">
        <f t="shared" si="107"/>
        <v>0,999999984792424+0,00021181268073488i</v>
      </c>
      <c r="AA97" s="4">
        <f t="shared" si="123"/>
        <v>1.0000000072247299</v>
      </c>
      <c r="AB97" s="4">
        <f t="shared" si="124"/>
        <v>2.118126807884062E-4</v>
      </c>
      <c r="AC97" s="47" t="str">
        <f t="shared" si="125"/>
        <v>13,7866618690549-23,6183684819187i</v>
      </c>
      <c r="AD97" s="20">
        <f t="shared" si="126"/>
        <v>28.738431704339998</v>
      </c>
      <c r="AE97" s="43">
        <f t="shared" si="127"/>
        <v>-59.726768473464006</v>
      </c>
      <c r="AF97" t="str">
        <f t="shared" si="108"/>
        <v>171,265703090588</v>
      </c>
      <c r="AG97" t="str">
        <f t="shared" si="109"/>
        <v>1+1,71284521857967i</v>
      </c>
      <c r="AH97">
        <f t="shared" si="128"/>
        <v>1.9833907186460356</v>
      </c>
      <c r="AI97">
        <f t="shared" si="129"/>
        <v>1.0423559272435043</v>
      </c>
      <c r="AJ97" t="str">
        <f t="shared" si="110"/>
        <v>1+0,00585776115213878i</v>
      </c>
      <c r="AK97">
        <f t="shared" si="130"/>
        <v>1.0000171565356843</v>
      </c>
      <c r="AL97">
        <f t="shared" si="131"/>
        <v>5.8576941536845782E-3</v>
      </c>
      <c r="AM97" t="str">
        <f t="shared" si="111"/>
        <v>1-0,000487066101752766i</v>
      </c>
      <c r="AN97">
        <f t="shared" si="132"/>
        <v>1.0000001186166867</v>
      </c>
      <c r="AO97">
        <f t="shared" si="133"/>
        <v>-4.8706606323665775E-4</v>
      </c>
      <c r="AP97" s="41" t="str">
        <f t="shared" si="134"/>
        <v>43,937157884763-74,3377349370068i</v>
      </c>
      <c r="AQ97">
        <f t="shared" si="135"/>
        <v>38.725392552452647</v>
      </c>
      <c r="AR97" s="43">
        <f t="shared" si="136"/>
        <v>-59.414881058581209</v>
      </c>
      <c r="AS97" t="str">
        <f t="shared" si="112"/>
        <v>-0,0000166666666666667</v>
      </c>
      <c r="AT97" t="str">
        <f t="shared" si="113"/>
        <v>5,93911894591848E-07i</v>
      </c>
      <c r="AU97">
        <f t="shared" si="137"/>
        <v>5.9391189459184796E-7</v>
      </c>
      <c r="AV97">
        <f t="shared" si="138"/>
        <v>1.5707963267948966</v>
      </c>
      <c r="AW97" t="str">
        <f t="shared" si="114"/>
        <v>1+0,00275210876358522i</v>
      </c>
      <c r="AX97">
        <f t="shared" si="139"/>
        <v>1.0000037870441525</v>
      </c>
      <c r="AY97">
        <f t="shared" si="140"/>
        <v>2.7521018153653723E-3</v>
      </c>
      <c r="AZ97" t="str">
        <f t="shared" si="115"/>
        <v>1+0,127847961653823i</v>
      </c>
      <c r="BA97">
        <f t="shared" si="141"/>
        <v>1.0081394255255756</v>
      </c>
      <c r="BB97">
        <f t="shared" si="142"/>
        <v>0.12715815150322993</v>
      </c>
      <c r="BC97" s="41" t="str">
        <f t="shared" si="143"/>
        <v>-3,51047875809236+28,0721850018096i</v>
      </c>
      <c r="BD97">
        <f t="shared" si="144"/>
        <v>29.032913616741169</v>
      </c>
      <c r="BE97" s="43">
        <f t="shared" si="145"/>
        <v>97.127941593009467</v>
      </c>
      <c r="BF97" s="41" t="str">
        <f t="shared" si="146"/>
        <v>614,621425829012+469,933503402077i</v>
      </c>
      <c r="BG97" s="20">
        <f t="shared" si="147"/>
        <v>57.771345321081171</v>
      </c>
      <c r="BH97" s="43">
        <f t="shared" si="148"/>
        <v>37.401173119545454</v>
      </c>
      <c r="BI97" s="41" t="str">
        <f t="shared" si="101"/>
        <v>1932,58218832173+1494,37306401585i</v>
      </c>
      <c r="BJ97" s="20">
        <f t="shared" si="149"/>
        <v>67.758306169193816</v>
      </c>
      <c r="BK97" s="43">
        <f t="shared" si="102"/>
        <v>37.713060534428315</v>
      </c>
      <c r="BL97">
        <f t="shared" si="150"/>
        <v>57.771345321081171</v>
      </c>
      <c r="BM97" s="43">
        <f t="shared" si="151"/>
        <v>37.401173119545454</v>
      </c>
    </row>
    <row r="98" spans="14:65" x14ac:dyDescent="0.25">
      <c r="N98" s="9">
        <v>80</v>
      </c>
      <c r="O98" s="34">
        <f t="shared" si="116"/>
        <v>63.095734448019364</v>
      </c>
      <c r="P98" s="33" t="str">
        <f t="shared" si="103"/>
        <v>54,631621870174</v>
      </c>
      <c r="Q98" s="4" t="str">
        <f t="shared" si="104"/>
        <v>1+1,76967836181359i</v>
      </c>
      <c r="R98" s="4">
        <f t="shared" si="117"/>
        <v>2.0326734868815581</v>
      </c>
      <c r="S98" s="4">
        <f t="shared" si="118"/>
        <v>1.0564533642310467</v>
      </c>
      <c r="T98" s="4" t="str">
        <f t="shared" si="105"/>
        <v>1+0,00599420593743804i</v>
      </c>
      <c r="U98" s="4">
        <f t="shared" si="119"/>
        <v>1.0000179650910379</v>
      </c>
      <c r="V98" s="4">
        <f t="shared" si="120"/>
        <v>5.9941341473705957E-3</v>
      </c>
      <c r="W98" t="str">
        <f t="shared" si="106"/>
        <v>1-0,00157757781214549i</v>
      </c>
      <c r="X98" s="4">
        <f t="shared" si="121"/>
        <v>1.0000012443751025</v>
      </c>
      <c r="Y98" s="4">
        <f t="shared" si="122"/>
        <v>-1.5775765034142621E-3</v>
      </c>
      <c r="Z98" t="str">
        <f t="shared" si="107"/>
        <v>0,999999984075713+0,000216746431872203i</v>
      </c>
      <c r="AA98" s="4">
        <f t="shared" si="123"/>
        <v>1.0000000075652209</v>
      </c>
      <c r="AB98" s="4">
        <f t="shared" si="124"/>
        <v>2.1674643192955736E-4</v>
      </c>
      <c r="AC98" s="47" t="str">
        <f t="shared" si="125"/>
        <v>13,3207676814156-23,344028099261i</v>
      </c>
      <c r="AD98" s="20">
        <f t="shared" si="126"/>
        <v>28.587696209735345</v>
      </c>
      <c r="AE98" s="43">
        <f t="shared" si="127"/>
        <v>-60.289687565635404</v>
      </c>
      <c r="AF98" t="str">
        <f t="shared" si="108"/>
        <v>171,265703090588</v>
      </c>
      <c r="AG98" t="str">
        <f t="shared" si="109"/>
        <v>1+1,75274250903417i</v>
      </c>
      <c r="AH98">
        <f t="shared" si="128"/>
        <v>2.017946060472231</v>
      </c>
      <c r="AI98">
        <f t="shared" si="129"/>
        <v>1.0523244950033936</v>
      </c>
      <c r="AJ98" t="str">
        <f t="shared" si="110"/>
        <v>1+0,00599420593743804i</v>
      </c>
      <c r="AK98">
        <f t="shared" si="130"/>
        <v>1.0000179650910379</v>
      </c>
      <c r="AL98">
        <f t="shared" si="131"/>
        <v>5.9941341473705957E-3</v>
      </c>
      <c r="AM98" t="str">
        <f t="shared" si="111"/>
        <v>1-0,000498411328701109i</v>
      </c>
      <c r="AN98">
        <f t="shared" si="132"/>
        <v>1.0000001242069185</v>
      </c>
      <c r="AO98">
        <f t="shared" si="133"/>
        <v>-4.984112874303557E-4</v>
      </c>
      <c r="AP98" s="41" t="str">
        <f t="shared" si="134"/>
        <v>42,4635201615535-73,4863757426776i</v>
      </c>
      <c r="AQ98">
        <f t="shared" si="135"/>
        <v>38.575374087968434</v>
      </c>
      <c r="AR98" s="43">
        <f t="shared" si="136"/>
        <v>-59.978870516682015</v>
      </c>
      <c r="AS98" t="str">
        <f t="shared" si="112"/>
        <v>-0,0000166666666666667</v>
      </c>
      <c r="AT98" t="str">
        <f t="shared" si="113"/>
        <v>6,07745879768024E-07i</v>
      </c>
      <c r="AU98">
        <f t="shared" si="137"/>
        <v>6.0774587976802405E-7</v>
      </c>
      <c r="AV98">
        <f t="shared" si="138"/>
        <v>1.5707963267948966</v>
      </c>
      <c r="AW98" t="str">
        <f t="shared" si="114"/>
        <v>1+0,0028162136117712i</v>
      </c>
      <c r="AX98">
        <f t="shared" si="139"/>
        <v>1.000003965521691</v>
      </c>
      <c r="AY98">
        <f t="shared" si="140"/>
        <v>2.816206166621091E-3</v>
      </c>
      <c r="AZ98" t="str">
        <f t="shared" si="115"/>
        <v>1+0,130825923237735i</v>
      </c>
      <c r="BA98">
        <f t="shared" si="141"/>
        <v>1.0085214039330082</v>
      </c>
      <c r="BB98">
        <f t="shared" si="142"/>
        <v>0.13008711522895564</v>
      </c>
      <c r="BC98" s="41" t="str">
        <f t="shared" si="143"/>
        <v>-3,51047750501419+27,4336290087062i</v>
      </c>
      <c r="BD98">
        <f t="shared" si="144"/>
        <v>28.836202478346522</v>
      </c>
      <c r="BE98" s="43">
        <f t="shared" si="145"/>
        <v>97.29208594406505</v>
      </c>
      <c r="BF98" s="41" t="str">
        <f t="shared" si="146"/>
        <v>593,64915114881+447,385684201994i</v>
      </c>
      <c r="BG98" s="20">
        <f t="shared" si="147"/>
        <v>57.423898688081863</v>
      </c>
      <c r="BH98" s="43">
        <f t="shared" si="148"/>
        <v>37.002398378429653</v>
      </c>
      <c r="BI98" s="41" t="str">
        <f t="shared" si="101"/>
        <v>1866,93073700815+1422,90072748546i</v>
      </c>
      <c r="BJ98" s="20">
        <f t="shared" si="149"/>
        <v>67.411576566314935</v>
      </c>
      <c r="BK98" s="43">
        <f t="shared" si="102"/>
        <v>37.313215427383007</v>
      </c>
      <c r="BL98">
        <f t="shared" si="150"/>
        <v>57.423898688081863</v>
      </c>
      <c r="BM98" s="43">
        <f t="shared" si="151"/>
        <v>37.002398378429653</v>
      </c>
    </row>
    <row r="99" spans="14:65" x14ac:dyDescent="0.25">
      <c r="N99" s="9">
        <v>81</v>
      </c>
      <c r="O99" s="34">
        <f t="shared" si="116"/>
        <v>64.565422903465588</v>
      </c>
      <c r="P99" s="33" t="str">
        <f t="shared" si="103"/>
        <v>54,631621870174</v>
      </c>
      <c r="Q99" s="4" t="str">
        <f t="shared" si="104"/>
        <v>1+1,81089946623473i</v>
      </c>
      <c r="R99" s="4">
        <f t="shared" si="117"/>
        <v>2.0686606480544918</v>
      </c>
      <c r="S99" s="4">
        <f t="shared" si="118"/>
        <v>1.0662566057929841</v>
      </c>
      <c r="T99" s="4" t="str">
        <f t="shared" si="105"/>
        <v>1+0,00613382893006804i</v>
      </c>
      <c r="U99" s="4">
        <f t="shared" si="119"/>
        <v>1.0000188117517308</v>
      </c>
      <c r="V99" s="4">
        <f t="shared" si="120"/>
        <v>6.1337520057030024E-3</v>
      </c>
      <c r="W99" t="str">
        <f t="shared" si="106"/>
        <v>1-0,00161432431994608i</v>
      </c>
      <c r="X99" s="4">
        <f t="shared" si="121"/>
        <v>1.000001303020656</v>
      </c>
      <c r="Y99" s="4">
        <f t="shared" si="122"/>
        <v>-1.6143229176154028E-3</v>
      </c>
      <c r="Z99" t="str">
        <f t="shared" si="107"/>
        <v>0,999999983325225+0,000221795104836683i</v>
      </c>
      <c r="AA99" s="4">
        <f t="shared" si="123"/>
        <v>1.0000000079217595</v>
      </c>
      <c r="AB99" s="4">
        <f t="shared" si="124"/>
        <v>2.2179510489813919E-4</v>
      </c>
      <c r="AC99" s="47" t="str">
        <f t="shared" si="125"/>
        <v>12,865811330935-23,0639001590861i</v>
      </c>
      <c r="AD99" s="20">
        <f t="shared" si="126"/>
        <v>28.435271460173851</v>
      </c>
      <c r="AE99" s="43">
        <f t="shared" si="127"/>
        <v>-60.845767100753662</v>
      </c>
      <c r="AF99" t="str">
        <f t="shared" si="108"/>
        <v>171,265703090588</v>
      </c>
      <c r="AG99" t="str">
        <f t="shared" si="109"/>
        <v>1+1,79356912676726i</v>
      </c>
      <c r="AH99">
        <f t="shared" si="128"/>
        <v>2.0535068084846153</v>
      </c>
      <c r="AI99">
        <f t="shared" si="129"/>
        <v>1.0621769560884775</v>
      </c>
      <c r="AJ99" t="str">
        <f t="shared" si="110"/>
        <v>1+0,00613382893006804i</v>
      </c>
      <c r="AK99">
        <f t="shared" si="130"/>
        <v>1.0000188117517308</v>
      </c>
      <c r="AL99">
        <f t="shared" si="131"/>
        <v>6.1337520057030024E-3</v>
      </c>
      <c r="AM99" t="str">
        <f t="shared" si="111"/>
        <v>1-0,000510020819933184i</v>
      </c>
      <c r="AN99">
        <f t="shared" si="132"/>
        <v>1.0000001300606098</v>
      </c>
      <c r="AO99">
        <f t="shared" si="133"/>
        <v>-5.1002077571077537E-4</v>
      </c>
      <c r="AP99" s="41" t="str">
        <f t="shared" si="134"/>
        <v>41,0240091566786-72,6162308296073i</v>
      </c>
      <c r="AQ99">
        <f t="shared" si="135"/>
        <v>38.423649618444934</v>
      </c>
      <c r="AR99" s="43">
        <f t="shared" si="136"/>
        <v>-60.536040615327856</v>
      </c>
      <c r="AS99" t="str">
        <f t="shared" si="112"/>
        <v>-0,0000166666666666667</v>
      </c>
      <c r="AT99" t="str">
        <f t="shared" si="113"/>
        <v>6,21902099854121E-07i</v>
      </c>
      <c r="AU99">
        <f t="shared" si="137"/>
        <v>6.2190209985412105E-7</v>
      </c>
      <c r="AV99">
        <f t="shared" si="138"/>
        <v>1.5707963267948966</v>
      </c>
      <c r="AW99" t="str">
        <f t="shared" si="114"/>
        <v>1+0,00288181165369114i</v>
      </c>
      <c r="AX99">
        <f t="shared" si="139"/>
        <v>1.0000041524105825</v>
      </c>
      <c r="AY99">
        <f t="shared" si="140"/>
        <v>2.8818036760708569E-3</v>
      </c>
      <c r="AZ99" t="str">
        <f t="shared" si="115"/>
        <v>1+0,133873250457834i</v>
      </c>
      <c r="BA99">
        <f t="shared" si="141"/>
        <v>1.0089212294268299</v>
      </c>
      <c r="BB99">
        <f t="shared" si="142"/>
        <v>0.1330819809851839</v>
      </c>
      <c r="BC99" s="41" t="str">
        <f t="shared" si="143"/>
        <v>-3,51047619288126+26,8096186884976i</v>
      </c>
      <c r="BD99">
        <f t="shared" si="144"/>
        <v>28.639643669342494</v>
      </c>
      <c r="BE99" s="43">
        <f t="shared" si="145"/>
        <v>97.459920651667119</v>
      </c>
      <c r="BF99" s="41" t="str">
        <f t="shared" si="146"/>
        <v>573,169244355328+425,892768323981i</v>
      </c>
      <c r="BG99" s="20">
        <f t="shared" si="147"/>
        <v>57.074915129516341</v>
      </c>
      <c r="BH99" s="43">
        <f t="shared" si="148"/>
        <v>36.614153550913457</v>
      </c>
      <c r="BI99" s="41" t="str">
        <f t="shared" si="101"/>
        <v>1802,79965165663+1354,75559210809i</v>
      </c>
      <c r="BJ99" s="20">
        <f t="shared" si="149"/>
        <v>67.063293287787403</v>
      </c>
      <c r="BK99" s="43">
        <f t="shared" si="102"/>
        <v>36.92388003633922</v>
      </c>
      <c r="BL99">
        <f t="shared" si="150"/>
        <v>57.074915129516341</v>
      </c>
      <c r="BM99" s="43">
        <f t="shared" si="151"/>
        <v>36.614153550913457</v>
      </c>
    </row>
    <row r="100" spans="14:65" x14ac:dyDescent="0.25">
      <c r="N100" s="9">
        <v>82</v>
      </c>
      <c r="O100" s="34">
        <f t="shared" si="116"/>
        <v>66.069344800759623</v>
      </c>
      <c r="P100" s="33" t="str">
        <f t="shared" si="103"/>
        <v>54,631621870174</v>
      </c>
      <c r="Q100" s="4" t="str">
        <f t="shared" si="104"/>
        <v>1+1,85308073352296i</v>
      </c>
      <c r="R100" s="4">
        <f t="shared" si="117"/>
        <v>2.1056847354136354</v>
      </c>
      <c r="S100" s="4">
        <f t="shared" si="118"/>
        <v>1.0759403611527185</v>
      </c>
      <c r="T100" s="4" t="str">
        <f t="shared" si="105"/>
        <v>1+0,00627670415998758i</v>
      </c>
      <c r="U100" s="4">
        <f t="shared" si="119"/>
        <v>1.0000196983135443</v>
      </c>
      <c r="V100" s="4">
        <f t="shared" si="120"/>
        <v>6.276621734133089E-3</v>
      </c>
      <c r="W100" t="str">
        <f t="shared" si="106"/>
        <v>1-0,00165192676386922i</v>
      </c>
      <c r="X100" s="4">
        <f t="shared" si="121"/>
        <v>1.0000013644300858</v>
      </c>
      <c r="Y100" s="4">
        <f t="shared" si="122"/>
        <v>-1.6519252612449378E-3</v>
      </c>
      <c r="Z100" t="str">
        <f t="shared" si="107"/>
        <v>0,999999982539367+0,000226961376501553i</v>
      </c>
      <c r="AA100" s="4">
        <f t="shared" si="123"/>
        <v>1.0000000082951002</v>
      </c>
      <c r="AB100" s="4">
        <f t="shared" si="124"/>
        <v>2.2696137656740451E-4</v>
      </c>
      <c r="AC100" s="47" t="str">
        <f t="shared" si="125"/>
        <v>12,4218774628166-22,7784821156516i</v>
      </c>
      <c r="AD100" s="20">
        <f t="shared" si="126"/>
        <v>28.281197773540001</v>
      </c>
      <c r="AE100" s="43">
        <f t="shared" si="127"/>
        <v>-61.394870041396707</v>
      </c>
      <c r="AF100" t="str">
        <f t="shared" si="108"/>
        <v>171,265703090588</v>
      </c>
      <c r="AG100" t="str">
        <f t="shared" si="109"/>
        <v>1+1,83534671859205i</v>
      </c>
      <c r="AH100">
        <f t="shared" si="128"/>
        <v>2.0900951120574884</v>
      </c>
      <c r="AI100">
        <f t="shared" si="129"/>
        <v>1.07191088261819</v>
      </c>
      <c r="AJ100" t="str">
        <f t="shared" si="110"/>
        <v>1+0,00627670415998758i</v>
      </c>
      <c r="AK100">
        <f t="shared" si="130"/>
        <v>1.0000196983135443</v>
      </c>
      <c r="AL100">
        <f t="shared" si="131"/>
        <v>6.276621734133089E-3</v>
      </c>
      <c r="AM100" t="str">
        <f t="shared" si="111"/>
        <v>1-0,000521900730954912i</v>
      </c>
      <c r="AN100">
        <f t="shared" si="132"/>
        <v>1.0000001361901771</v>
      </c>
      <c r="AO100">
        <f t="shared" si="133"/>
        <v>-5.2190068356974784E-4</v>
      </c>
      <c r="AP100" s="41" t="str">
        <f t="shared" si="134"/>
        <v>39,6189260996375-71,7288655556892i</v>
      </c>
      <c r="AQ100">
        <f t="shared" si="135"/>
        <v>38.270259322278534</v>
      </c>
      <c r="AR100" s="43">
        <f t="shared" si="136"/>
        <v>-61.086248359692917</v>
      </c>
      <c r="AS100" t="str">
        <f t="shared" si="112"/>
        <v>-0,0000166666666666667</v>
      </c>
      <c r="AT100" t="str">
        <f t="shared" si="113"/>
        <v>6,36388060665407E-07i</v>
      </c>
      <c r="AU100">
        <f t="shared" si="137"/>
        <v>6.3638806066540701E-7</v>
      </c>
      <c r="AV100">
        <f t="shared" si="138"/>
        <v>1.5707963267948966</v>
      </c>
      <c r="AW100" t="str">
        <f t="shared" si="114"/>
        <v>1+0,00294893767029516i</v>
      </c>
      <c r="AX100">
        <f t="shared" si="139"/>
        <v>1.0000043481072385</v>
      </c>
      <c r="AY100">
        <f t="shared" si="140"/>
        <v>2.9489291221230242E-3</v>
      </c>
      <c r="AZ100" t="str">
        <f t="shared" si="115"/>
        <v>1+0,136991559047348i</v>
      </c>
      <c r="BA100">
        <f t="shared" si="141"/>
        <v>1.0093397283621719</v>
      </c>
      <c r="BB100">
        <f t="shared" si="142"/>
        <v>0.13614412168266912</v>
      </c>
      <c r="BC100" s="41" t="str">
        <f t="shared" si="143"/>
        <v>-3,51047481891047+26,1998231826282i</v>
      </c>
      <c r="BD100">
        <f t="shared" si="144"/>
        <v>28.443244115847513</v>
      </c>
      <c r="BE100" s="43">
        <f t="shared" si="145"/>
        <v>97.63152238515157</v>
      </c>
      <c r="BF100" s="41" t="str">
        <f t="shared" si="146"/>
        <v>553,185515761921+405,414281002067i</v>
      </c>
      <c r="BG100" s="20">
        <f t="shared" si="147"/>
        <v>56.724441889387514</v>
      </c>
      <c r="BH100" s="43">
        <f t="shared" si="148"/>
        <v>36.236652343754926</v>
      </c>
      <c r="BI100" s="41" t="str">
        <f t="shared" si="101"/>
        <v>1740,20235222451+1289,81123481838i</v>
      </c>
      <c r="BJ100" s="20">
        <f t="shared" si="149"/>
        <v>66.71350343812604</v>
      </c>
      <c r="BK100" s="43">
        <f t="shared" si="102"/>
        <v>36.545274025458795</v>
      </c>
      <c r="BL100">
        <f t="shared" si="150"/>
        <v>56.724441889387514</v>
      </c>
      <c r="BM100" s="43">
        <f t="shared" si="151"/>
        <v>36.236652343754926</v>
      </c>
    </row>
    <row r="101" spans="14:65" x14ac:dyDescent="0.25">
      <c r="N101" s="9">
        <v>83</v>
      </c>
      <c r="O101" s="34">
        <f t="shared" si="116"/>
        <v>67.60829753919819</v>
      </c>
      <c r="P101" s="33" t="str">
        <f t="shared" si="103"/>
        <v>54,631621870174</v>
      </c>
      <c r="Q101" s="4" t="str">
        <f t="shared" si="104"/>
        <v>1+1,89624452874452i</v>
      </c>
      <c r="R101" s="4">
        <f t="shared" si="117"/>
        <v>2.1437684839537892</v>
      </c>
      <c r="S101" s="4">
        <f t="shared" si="118"/>
        <v>1.0855024992371158</v>
      </c>
      <c r="T101" s="4" t="str">
        <f t="shared" si="105"/>
        <v>1+0,00642290738153475i</v>
      </c>
      <c r="U101" s="4">
        <f t="shared" si="119"/>
        <v>1.0000206266568865</v>
      </c>
      <c r="V101" s="4">
        <f t="shared" si="120"/>
        <v>6.4228190607388018E-3</v>
      </c>
      <c r="W101" t="str">
        <f t="shared" si="106"/>
        <v>1-0,0016904050812284i</v>
      </c>
      <c r="X101" s="4">
        <f t="shared" si="121"/>
        <v>1.0000014287336487</v>
      </c>
      <c r="Y101" s="4">
        <f t="shared" si="122"/>
        <v>-1.6904034711375973E-3</v>
      </c>
      <c r="Z101" t="str">
        <f t="shared" si="107"/>
        <v>0,999999981716472+0,000232247986092433i</v>
      </c>
      <c r="AA101" s="4">
        <f t="shared" si="123"/>
        <v>1.0000000086860357</v>
      </c>
      <c r="AB101" s="4">
        <f t="shared" si="124"/>
        <v>2.3224798616299435E-4</v>
      </c>
      <c r="AC101" s="47" t="str">
        <f t="shared" si="125"/>
        <v>11,9890238753445-22,4882648833523i</v>
      </c>
      <c r="AD101" s="20">
        <f t="shared" si="126"/>
        <v>28.125515729536033</v>
      </c>
      <c r="AE101" s="43">
        <f t="shared" si="127"/>
        <v>-61.936871246411052</v>
      </c>
      <c r="AF101" t="str">
        <f t="shared" si="108"/>
        <v>171,265703090588</v>
      </c>
      <c r="AG101" t="str">
        <f t="shared" si="109"/>
        <v>1+1,87809743554072i</v>
      </c>
      <c r="AH101">
        <f t="shared" si="128"/>
        <v>2.1277335306340945</v>
      </c>
      <c r="AI101">
        <f t="shared" si="129"/>
        <v>1.0815240566433866</v>
      </c>
      <c r="AJ101" t="str">
        <f t="shared" si="110"/>
        <v>1+0,00642290738153475i</v>
      </c>
      <c r="AK101">
        <f t="shared" si="130"/>
        <v>1.0000206266568865</v>
      </c>
      <c r="AL101">
        <f t="shared" si="131"/>
        <v>6.4228190607388018E-3</v>
      </c>
      <c r="AM101" t="str">
        <f t="shared" si="111"/>
        <v>1-0,000534057360652365i</v>
      </c>
      <c r="AN101">
        <f t="shared" si="132"/>
        <v>1.000000142608622</v>
      </c>
      <c r="AO101">
        <f t="shared" si="133"/>
        <v>-5.3405730987824719E-4</v>
      </c>
      <c r="AP101" s="41" t="str">
        <f t="shared" si="134"/>
        <v>38,2484867631404-70,8258268639458i</v>
      </c>
      <c r="AQ101">
        <f t="shared" si="135"/>
        <v>38.115243681115381</v>
      </c>
      <c r="AR101" s="43">
        <f t="shared" si="136"/>
        <v>-61.629362692651483</v>
      </c>
      <c r="AS101" t="str">
        <f t="shared" si="112"/>
        <v>-0,0000166666666666667</v>
      </c>
      <c r="AT101" t="str">
        <f t="shared" si="113"/>
        <v>6,5121144285005E-07i</v>
      </c>
      <c r="AU101">
        <f t="shared" si="137"/>
        <v>6.5121144285004998E-7</v>
      </c>
      <c r="AV101">
        <f t="shared" si="138"/>
        <v>1.5707963267948966</v>
      </c>
      <c r="AW101" t="str">
        <f t="shared" si="114"/>
        <v>1+0,00301762725268577i</v>
      </c>
      <c r="AX101">
        <f t="shared" si="139"/>
        <v>1.0000045530267532</v>
      </c>
      <c r="AY101">
        <f t="shared" si="140"/>
        <v>3.0176180931565542E-3</v>
      </c>
      <c r="AZ101" t="str">
        <f t="shared" si="115"/>
        <v>1+0,140182502374766i</v>
      </c>
      <c r="BA101">
        <f t="shared" si="141"/>
        <v>1.0097777646452963</v>
      </c>
      <c r="BB101">
        <f t="shared" si="142"/>
        <v>0.13927493108541888</v>
      </c>
      <c r="BC101" s="41" t="str">
        <f t="shared" si="143"/>
        <v>-3,51047338018757+25,6039191694241i</v>
      </c>
      <c r="BD101">
        <f t="shared" si="144"/>
        <v>28.247011046669137</v>
      </c>
      <c r="BE101" s="43">
        <f t="shared" si="145"/>
        <v>97.806968962249655</v>
      </c>
      <c r="BF101" s="41" t="str">
        <f t="shared" si="146"/>
        <v>533,700567165121+385,910453464231i</v>
      </c>
      <c r="BG101" s="20">
        <f t="shared" si="147"/>
        <v>56.37252677620517</v>
      </c>
      <c r="BH101" s="43">
        <f t="shared" si="148"/>
        <v>35.870097715838561</v>
      </c>
      <c r="BI101" s="41" t="str">
        <f t="shared" si="101"/>
        <v>1679,14845151763+1227,94334327189i</v>
      </c>
      <c r="BJ101" s="20">
        <f t="shared" si="149"/>
        <v>66.362254727784503</v>
      </c>
      <c r="BK101" s="43">
        <f t="shared" si="102"/>
        <v>36.177606269598229</v>
      </c>
      <c r="BL101">
        <f t="shared" si="150"/>
        <v>56.37252677620517</v>
      </c>
      <c r="BM101" s="43">
        <f t="shared" si="151"/>
        <v>35.870097715838561</v>
      </c>
    </row>
    <row r="102" spans="14:65" x14ac:dyDescent="0.25">
      <c r="N102" s="9">
        <v>84</v>
      </c>
      <c r="O102" s="34">
        <f t="shared" si="116"/>
        <v>69.183097091893657</v>
      </c>
      <c r="P102" s="33" t="str">
        <f t="shared" si="103"/>
        <v>54,631621870174</v>
      </c>
      <c r="Q102" s="4" t="str">
        <f t="shared" si="104"/>
        <v>1+1,94041373791499i</v>
      </c>
      <c r="R102" s="4">
        <f t="shared" si="117"/>
        <v>2.1829350595675594</v>
      </c>
      <c r="S102" s="4">
        <f t="shared" si="118"/>
        <v>1.0949410947256624</v>
      </c>
      <c r="T102" s="4" t="str">
        <f t="shared" si="105"/>
        <v>1+0,00657251611359284i</v>
      </c>
      <c r="U102" s="4">
        <f t="shared" si="119"/>
        <v>1.0000215987507788</v>
      </c>
      <c r="V102" s="4">
        <f t="shared" si="120"/>
        <v>6.5724214762653207E-3</v>
      </c>
      <c r="W102" t="str">
        <f t="shared" si="106"/>
        <v>1-0,0017297796737368i</v>
      </c>
      <c r="X102" s="4">
        <f t="shared" si="121"/>
        <v>1.0000014960677406</v>
      </c>
      <c r="Y102" s="4">
        <f t="shared" si="122"/>
        <v>-1.7297779484935611E-3</v>
      </c>
      <c r="Z102" t="str">
        <f t="shared" si="107"/>
        <v>0,999999980854796+0,000237657736639705i</v>
      </c>
      <c r="AA102" s="4">
        <f t="shared" si="123"/>
        <v>1.000000009095396</v>
      </c>
      <c r="AB102" s="4">
        <f t="shared" si="124"/>
        <v>2.3765773671531278E-4</v>
      </c>
      <c r="AC102" s="47" t="str">
        <f t="shared" si="125"/>
        <v>11,5672826192345-22,1937313435639i</v>
      </c>
      <c r="AD102" s="20">
        <f t="shared" si="126"/>
        <v>27.968266073193419</v>
      </c>
      <c r="AE102" s="43">
        <f t="shared" si="127"/>
        <v>-62.471657292669192</v>
      </c>
      <c r="AF102" t="str">
        <f t="shared" si="108"/>
        <v>171,265703090588</v>
      </c>
      <c r="AG102" t="str">
        <f t="shared" si="109"/>
        <v>1+1,92184394460927i</v>
      </c>
      <c r="AH102">
        <f t="shared" si="128"/>
        <v>2.166445048329479</v>
      </c>
      <c r="AI102">
        <f t="shared" si="129"/>
        <v>1.0910144673315736</v>
      </c>
      <c r="AJ102" t="str">
        <f t="shared" si="110"/>
        <v>1+0,00657251611359284i</v>
      </c>
      <c r="AK102">
        <f t="shared" si="130"/>
        <v>1.0000215987507788</v>
      </c>
      <c r="AL102">
        <f t="shared" si="131"/>
        <v>6.5724214762653207E-3</v>
      </c>
      <c r="AM102" t="str">
        <f t="shared" si="111"/>
        <v>1-0,00054649715463152i</v>
      </c>
      <c r="AN102">
        <f t="shared" si="132"/>
        <v>1.0000001493295589</v>
      </c>
      <c r="AO102">
        <f t="shared" si="133"/>
        <v>-5.4649710022607306E-4</v>
      </c>
      <c r="AP102" s="41" t="str">
        <f t="shared" si="134"/>
        <v>36,9128247955346-69,9086384378773i</v>
      </c>
      <c r="AQ102">
        <f t="shared" si="135"/>
        <v>37.958643381702586</v>
      </c>
      <c r="AR102" s="43">
        <f t="shared" si="136"/>
        <v>-62.165264331400721</v>
      </c>
      <c r="AS102" t="str">
        <f t="shared" si="112"/>
        <v>-0,0000166666666666667</v>
      </c>
      <c r="AT102" t="str">
        <f t="shared" si="113"/>
        <v>6,66380105961495E-07i</v>
      </c>
      <c r="AU102">
        <f t="shared" si="137"/>
        <v>6.6638010596149497E-7</v>
      </c>
      <c r="AV102">
        <f t="shared" si="138"/>
        <v>1.5707963267948966</v>
      </c>
      <c r="AW102" t="str">
        <f t="shared" si="114"/>
        <v>1+0,00308791682098877i</v>
      </c>
      <c r="AX102">
        <f t="shared" si="139"/>
        <v>1.0000047676037815</v>
      </c>
      <c r="AY102">
        <f t="shared" si="140"/>
        <v>3.0879070063789156E-3</v>
      </c>
      <c r="AZ102" t="str">
        <f t="shared" si="115"/>
        <v>1+0,143447772320478i</v>
      </c>
      <c r="BA102">
        <f t="shared" si="141"/>
        <v>1.0102362413731294</v>
      </c>
      <c r="BB102">
        <f t="shared" si="142"/>
        <v>0.14247582355628355</v>
      </c>
      <c r="BC102" s="41" t="str">
        <f t="shared" si="143"/>
        <v>-3,51047187366102+25,0215906926621i</v>
      </c>
      <c r="BD102">
        <f t="shared" si="144"/>
        <v>28.050952005376857</v>
      </c>
      <c r="BE102" s="43">
        <f t="shared" si="145"/>
        <v>97.986339333431204</v>
      </c>
      <c r="BF102" s="41" t="str">
        <f t="shared" si="146"/>
        <v>514,715841332051+367,342280778i</v>
      </c>
      <c r="BG102" s="20">
        <f t="shared" si="147"/>
        <v>56.019218078570276</v>
      </c>
      <c r="BH102" s="43">
        <f t="shared" si="148"/>
        <v>35.514682040762004</v>
      </c>
      <c r="BI102" s="41" t="str">
        <f t="shared" si="101"/>
        <v>1619,64390365177+1169,02990230592i</v>
      </c>
      <c r="BJ102" s="20">
        <f t="shared" si="149"/>
        <v>66.009595387079429</v>
      </c>
      <c r="BK102" s="43">
        <f t="shared" si="102"/>
        <v>35.82107500203044</v>
      </c>
      <c r="BL102">
        <f t="shared" si="150"/>
        <v>56.019218078570276</v>
      </c>
      <c r="BM102" s="43">
        <f t="shared" si="151"/>
        <v>35.514682040762004</v>
      </c>
    </row>
    <row r="103" spans="14:65" x14ac:dyDescent="0.25">
      <c r="N103" s="9">
        <v>85</v>
      </c>
      <c r="O103" s="34">
        <f t="shared" si="116"/>
        <v>70.794578438413865</v>
      </c>
      <c r="P103" s="33" t="str">
        <f t="shared" si="103"/>
        <v>54,631621870174</v>
      </c>
      <c r="Q103" s="4" t="str">
        <f t="shared" si="104"/>
        <v>1+1,98561178013372i</v>
      </c>
      <c r="R103" s="4">
        <f t="shared" si="117"/>
        <v>2.2232080742489675</v>
      </c>
      <c r="S103" s="4">
        <f t="shared" si="118"/>
        <v>1.1042544243640255</v>
      </c>
      <c r="T103" s="4" t="str">
        <f t="shared" si="105"/>
        <v>1+0,00672560968069189i</v>
      </c>
      <c r="U103" s="4">
        <f t="shared" si="119"/>
        <v>1.0000226166570318</v>
      </c>
      <c r="V103" s="4">
        <f t="shared" si="120"/>
        <v>6.7255082750923212E-3</v>
      </c>
      <c r="W103" t="str">
        <f t="shared" si="106"/>
        <v>1-0,00177007141832455i</v>
      </c>
      <c r="X103" s="4">
        <f t="shared" si="121"/>
        <v>1.000001566575186</v>
      </c>
      <c r="Y103" s="4">
        <f t="shared" si="122"/>
        <v>-1.7700695696932698E-3</v>
      </c>
      <c r="Z103" t="str">
        <f t="shared" si="107"/>
        <v>0,999999979952511+0,000243193496464716i</v>
      </c>
      <c r="AA103" s="4">
        <f t="shared" si="123"/>
        <v>1.0000000095240495</v>
      </c>
      <c r="AB103" s="4">
        <f t="shared" si="124"/>
        <v>2.4319349654573105E-4</v>
      </c>
      <c r="AC103" s="47" t="str">
        <f t="shared" si="125"/>
        <v>11,1566611719991-21,8953549812083i</v>
      </c>
      <c r="AD103" s="20">
        <f t="shared" si="126"/>
        <v>27.809489622562353</v>
      </c>
      <c r="AE103" s="43">
        <f t="shared" si="127"/>
        <v>-62.999126262208726</v>
      </c>
      <c r="AF103" t="str">
        <f t="shared" si="108"/>
        <v>171,265703090588</v>
      </c>
      <c r="AG103" t="str">
        <f t="shared" si="109"/>
        <v>1+1,96660944077587i</v>
      </c>
      <c r="AH103">
        <f t="shared" si="128"/>
        <v>2.2062530889607341</v>
      </c>
      <c r="AI103">
        <f t="shared" si="129"/>
        <v>1.1003803075258443</v>
      </c>
      <c r="AJ103" t="str">
        <f t="shared" si="110"/>
        <v>1+0,00672560968069189i</v>
      </c>
      <c r="AK103">
        <f t="shared" si="130"/>
        <v>1.0000226166570318</v>
      </c>
      <c r="AL103">
        <f t="shared" si="131"/>
        <v>6.7255082750923212E-3</v>
      </c>
      <c r="AM103" t="str">
        <f t="shared" si="111"/>
        <v>1-0,000559226708635807i</v>
      </c>
      <c r="AN103">
        <f t="shared" si="132"/>
        <v>1.0000001563672436</v>
      </c>
      <c r="AO103">
        <f t="shared" si="133"/>
        <v>-5.5922665033932071E-4</v>
      </c>
      <c r="AP103" s="41" t="str">
        <f t="shared" si="134"/>
        <v>35,6119953067859-68,9787962599562i</v>
      </c>
      <c r="AQ103">
        <f t="shared" si="135"/>
        <v>37.800499221798226</v>
      </c>
      <c r="AR103" s="43">
        <f t="shared" si="136"/>
        <v>-62.693845568151104</v>
      </c>
      <c r="AS103" t="str">
        <f t="shared" si="112"/>
        <v>-0,0000166666666666667</v>
      </c>
      <c r="AT103" t="str">
        <f t="shared" si="113"/>
        <v>6,81902092625705E-07i</v>
      </c>
      <c r="AU103">
        <f t="shared" si="137"/>
        <v>6.8190209262570499E-7</v>
      </c>
      <c r="AV103">
        <f t="shared" si="138"/>
        <v>1.5707963267948966</v>
      </c>
      <c r="AW103" t="str">
        <f t="shared" si="114"/>
        <v>1+0,00315984364366368i</v>
      </c>
      <c r="AX103">
        <f t="shared" si="139"/>
        <v>1.0000049922934646</v>
      </c>
      <c r="AY103">
        <f t="shared" si="140"/>
        <v>3.1598331271225832E-3</v>
      </c>
      <c r="AZ103" t="str">
        <f t="shared" si="115"/>
        <v>1+0,146789100173831i</v>
      </c>
      <c r="BA103">
        <f t="shared" si="141"/>
        <v>1.0107161025381177</v>
      </c>
      <c r="BB103">
        <f t="shared" si="142"/>
        <v>0.14574823375014992</v>
      </c>
      <c r="BC103" s="41" t="str">
        <f t="shared" si="143"/>
        <v>-3,51047029613547+24,4525289940466i</v>
      </c>
      <c r="BD103">
        <f t="shared" si="144"/>
        <v>27.855074862747312</v>
      </c>
      <c r="BE103" s="43">
        <f t="shared" si="145"/>
        <v>98.16971356322</v>
      </c>
      <c r="BF103" s="41" t="str">
        <f t="shared" si="146"/>
        <v>496,231674864588+349,671574069935i</v>
      </c>
      <c r="BG103" s="20">
        <f t="shared" si="147"/>
        <v>55.664564485309654</v>
      </c>
      <c r="BH103" s="43">
        <f t="shared" si="148"/>
        <v>35.170587301011246</v>
      </c>
      <c r="BI103" s="41" t="str">
        <f t="shared" si="101"/>
        <v>1561,69116381042+1112,95136310879i</v>
      </c>
      <c r="BJ103" s="20">
        <f t="shared" si="149"/>
        <v>65.65557408454552</v>
      </c>
      <c r="BK103" s="43">
        <f t="shared" si="102"/>
        <v>35.475867995068967</v>
      </c>
      <c r="BL103">
        <f t="shared" si="150"/>
        <v>55.664564485309654</v>
      </c>
      <c r="BM103" s="43">
        <f t="shared" si="151"/>
        <v>35.170587301011246</v>
      </c>
    </row>
    <row r="104" spans="14:65" x14ac:dyDescent="0.25">
      <c r="N104" s="9">
        <v>86</v>
      </c>
      <c r="O104" s="34">
        <f t="shared" si="116"/>
        <v>72.443596007499011</v>
      </c>
      <c r="P104" s="33" t="str">
        <f t="shared" si="103"/>
        <v>54,631621870174</v>
      </c>
      <c r="Q104" s="4" t="str">
        <f t="shared" si="104"/>
        <v>1+2,03186262000094i</v>
      </c>
      <c r="R104" s="4">
        <f t="shared" si="117"/>
        <v>2.2646116017006279</v>
      </c>
      <c r="S104" s="4">
        <f t="shared" si="118"/>
        <v>1.1134409627292685</v>
      </c>
      <c r="T104" s="4" t="str">
        <f t="shared" si="105"/>
        <v>1+0,0068822692550676i</v>
      </c>
      <c r="U104" s="4">
        <f t="shared" si="119"/>
        <v>1.0000236825346185</v>
      </c>
      <c r="V104" s="4">
        <f t="shared" si="120"/>
        <v>6.8821605971489805E-3</v>
      </c>
      <c r="W104" t="str">
        <f t="shared" si="106"/>
        <v>1-0,00181130167820797i</v>
      </c>
      <c r="X104" s="4">
        <f t="shared" si="121"/>
        <v>1.0000016404055394</v>
      </c>
      <c r="Y104" s="4">
        <f t="shared" si="122"/>
        <v>-1.8112996973640404E-3</v>
      </c>
      <c r="Z104" t="str">
        <f t="shared" si="107"/>
        <v>0,999999979007702+0,000248858200700597i</v>
      </c>
      <c r="AA104" s="4">
        <f t="shared" si="123"/>
        <v>1.0000000099729043</v>
      </c>
      <c r="AB104" s="4">
        <f t="shared" si="124"/>
        <v>2.4885820078740615E-4</v>
      </c>
      <c r="AC104" s="47" t="str">
        <f t="shared" si="125"/>
        <v>10,7571436733898-21,5935986524355i</v>
      </c>
      <c r="AD104" s="20">
        <f t="shared" si="126"/>
        <v>27.64922718082849</v>
      </c>
      <c r="AE104" s="43">
        <f t="shared" si="127"/>
        <v>-63.519187497917002</v>
      </c>
      <c r="AF104" t="str">
        <f t="shared" si="108"/>
        <v>171,265703090588</v>
      </c>
      <c r="AG104" t="str">
        <f t="shared" si="109"/>
        <v>1+2,01241765929912i</v>
      </c>
      <c r="AH104">
        <f t="shared" si="128"/>
        <v>2.2471815314875987</v>
      </c>
      <c r="AI104">
        <f t="shared" si="129"/>
        <v>1.1096199697323534</v>
      </c>
      <c r="AJ104" t="str">
        <f t="shared" si="110"/>
        <v>1+0,0068822692550676i</v>
      </c>
      <c r="AK104">
        <f t="shared" si="130"/>
        <v>1.0000236825346185</v>
      </c>
      <c r="AL104">
        <f t="shared" si="131"/>
        <v>6.8821605971489805E-3</v>
      </c>
      <c r="AM104" t="str">
        <f t="shared" si="111"/>
        <v>1-0,000572252772043251i</v>
      </c>
      <c r="AN104">
        <f t="shared" si="132"/>
        <v>1.0000001637366043</v>
      </c>
      <c r="AO104">
        <f t="shared" si="133"/>
        <v>-5.7225270957744117E-4</v>
      </c>
      <c r="AP104" s="41" t="str">
        <f t="shared" si="134"/>
        <v>34,3459786638561-68,0377645795765i</v>
      </c>
      <c r="AQ104">
        <f t="shared" si="135"/>
        <v>37.640852020410314</v>
      </c>
      <c r="AR104" s="43">
        <f t="shared" si="136"/>
        <v>-63.215010038023863</v>
      </c>
      <c r="AS104" t="str">
        <f t="shared" si="112"/>
        <v>-0,0000166666666666667</v>
      </c>
      <c r="AT104" t="str">
        <f t="shared" si="113"/>
        <v>6,97785632805465E-07i</v>
      </c>
      <c r="AU104">
        <f t="shared" si="137"/>
        <v>6.97785632805465E-7</v>
      </c>
      <c r="AV104">
        <f t="shared" si="138"/>
        <v>1.5707963267948966</v>
      </c>
      <c r="AW104" t="str">
        <f t="shared" si="114"/>
        <v>1+0,00323344585726392i</v>
      </c>
      <c r="AX104">
        <f t="shared" si="139"/>
        <v>1.0000052275723921</v>
      </c>
      <c r="AY104">
        <f t="shared" si="140"/>
        <v>3.2334345885902923E-3</v>
      </c>
      <c r="AZ104" t="str">
        <f t="shared" si="115"/>
        <v>1+0,150208257551078i</v>
      </c>
      <c r="BA104">
        <f t="shared" si="141"/>
        <v>1.0112183348004185</v>
      </c>
      <c r="BB104">
        <f t="shared" si="142"/>
        <v>0.14909361625093348</v>
      </c>
      <c r="BC104" s="41" t="str">
        <f t="shared" si="143"/>
        <v>-3,51046864426491+23,8964323495012i</v>
      </c>
      <c r="BD104">
        <f t="shared" si="144"/>
        <v>27.659387829580705</v>
      </c>
      <c r="BE104" s="43">
        <f t="shared" si="145"/>
        <v>98.357172808263783</v>
      </c>
      <c r="BF104" s="41" t="str">
        <f t="shared" si="146"/>
        <v>478,247353812918+332,86100705124i</v>
      </c>
      <c r="BG104" s="20">
        <f t="shared" si="147"/>
        <v>55.308615010409206</v>
      </c>
      <c r="BH104" s="43">
        <f t="shared" si="148"/>
        <v>34.83798531034676</v>
      </c>
      <c r="BI104" s="41" t="str">
        <f t="shared" si="101"/>
        <v>1505,28935733108+1059,59079480073i</v>
      </c>
      <c r="BJ104" s="20">
        <f t="shared" si="149"/>
        <v>65.300239849991016</v>
      </c>
      <c r="BK104" s="43">
        <f t="shared" si="102"/>
        <v>35.142162770239921</v>
      </c>
      <c r="BL104">
        <f t="shared" si="150"/>
        <v>55.308615010409206</v>
      </c>
      <c r="BM104" s="43">
        <f t="shared" si="151"/>
        <v>34.83798531034676</v>
      </c>
    </row>
    <row r="105" spans="14:65" x14ac:dyDescent="0.25">
      <c r="N105" s="9">
        <v>87</v>
      </c>
      <c r="O105" s="34">
        <f t="shared" si="116"/>
        <v>74.131024130091816</v>
      </c>
      <c r="P105" s="33" t="str">
        <f t="shared" si="103"/>
        <v>54,631621870174</v>
      </c>
      <c r="Q105" s="4" t="str">
        <f t="shared" si="104"/>
        <v>1+2,07919078032418i</v>
      </c>
      <c r="R105" s="4">
        <f t="shared" si="117"/>
        <v>2.3071701933288478</v>
      </c>
      <c r="S105" s="4">
        <f t="shared" si="118"/>
        <v>1.1224993775021714</v>
      </c>
      <c r="T105" s="4" t="str">
        <f t="shared" si="105"/>
        <v>1+0,00704257789969997i</v>
      </c>
      <c r="U105" s="4">
        <f t="shared" si="119"/>
        <v>1.0000247986442503</v>
      </c>
      <c r="V105" s="4">
        <f t="shared" si="120"/>
        <v>7.0424614707984374E-3</v>
      </c>
      <c r="W105" t="str">
        <f t="shared" si="106"/>
        <v>1-0,00185349231421659i</v>
      </c>
      <c r="X105" s="4">
        <f t="shared" si="121"/>
        <v>1.0000017177154041</v>
      </c>
      <c r="Y105" s="4">
        <f t="shared" si="122"/>
        <v>-1.8534901917042757E-3</v>
      </c>
      <c r="Z105" t="str">
        <f t="shared" si="107"/>
        <v>0,999999978018365+0,000254654852848519i</v>
      </c>
      <c r="AA105" s="4">
        <f t="shared" si="123"/>
        <v>1.0000000104429123</v>
      </c>
      <c r="AB105" s="4">
        <f t="shared" si="124"/>
        <v>2.5465485294153684E-4</v>
      </c>
      <c r="AC105" s="47" t="str">
        <f t="shared" si="125"/>
        <v>10,3686922084747-21,2889134834128i</v>
      </c>
      <c r="AD105" s="20">
        <f t="shared" si="126"/>
        <v>27.487519453056603</v>
      </c>
      <c r="AE105" s="43">
        <f t="shared" si="127"/>
        <v>-64.031761330935922</v>
      </c>
      <c r="AF105" t="str">
        <f t="shared" si="108"/>
        <v>171,265703090588</v>
      </c>
      <c r="AG105" t="str">
        <f t="shared" si="109"/>
        <v>1+2,05929288830283i</v>
      </c>
      <c r="AH105">
        <f t="shared" si="128"/>
        <v>2.2892547258473908</v>
      </c>
      <c r="AI105">
        <f t="shared" si="129"/>
        <v>1.1187320415917459</v>
      </c>
      <c r="AJ105" t="str">
        <f t="shared" si="110"/>
        <v>1+0,00704257789969997i</v>
      </c>
      <c r="AK105">
        <f t="shared" si="130"/>
        <v>1.0000247986442503</v>
      </c>
      <c r="AL105">
        <f t="shared" si="131"/>
        <v>7.0424614707984374E-3</v>
      </c>
      <c r="AM105" t="str">
        <f t="shared" si="111"/>
        <v>1-0,000585582251445096i</v>
      </c>
      <c r="AN105">
        <f t="shared" si="132"/>
        <v>1.0000001714532718</v>
      </c>
      <c r="AO105">
        <f t="shared" si="133"/>
        <v>-5.855821845117754E-4</v>
      </c>
      <c r="AP105" s="41" t="str">
        <f t="shared" si="134"/>
        <v>33,1146844526714-67,0869722922273i</v>
      </c>
      <c r="AQ105">
        <f t="shared" si="135"/>
        <v>37.479742532585483</v>
      </c>
      <c r="AR105" s="43">
        <f t="shared" si="136"/>
        <v>-63.728672457331456</v>
      </c>
      <c r="AS105" t="str">
        <f t="shared" si="112"/>
        <v>-0,0000166666666666667</v>
      </c>
      <c r="AT105" t="str">
        <f t="shared" si="113"/>
        <v>7,14039148164025E-07i</v>
      </c>
      <c r="AU105">
        <f t="shared" si="137"/>
        <v>7.1403914816402495E-7</v>
      </c>
      <c r="AV105">
        <f t="shared" si="138"/>
        <v>1.5707963267948966</v>
      </c>
      <c r="AW105" t="str">
        <f t="shared" si="114"/>
        <v>1+0,00330876248665741i</v>
      </c>
      <c r="AX105">
        <f t="shared" si="139"/>
        <v>1.0000054739396147</v>
      </c>
      <c r="AY105">
        <f t="shared" si="140"/>
        <v>3.308750412059643E-3</v>
      </c>
      <c r="AZ105" t="str">
        <f t="shared" si="115"/>
        <v>1+0,153707057334721i</v>
      </c>
      <c r="BA105">
        <f t="shared" si="141"/>
        <v>1.0117439693294441</v>
      </c>
      <c r="BB105">
        <f t="shared" si="142"/>
        <v>0.15251344514838369</v>
      </c>
      <c r="BC105" s="41" t="str">
        <f t="shared" si="143"/>
        <v>-3,51046691454577+23,3530059091907i</v>
      </c>
      <c r="BD105">
        <f t="shared" si="144"/>
        <v>27.463899469888425</v>
      </c>
      <c r="BE105" s="43">
        <f t="shared" si="145"/>
        <v>98.5487992919292</v>
      </c>
      <c r="BF105" s="41" t="str">
        <f t="shared" si="146"/>
        <v>460,76117143343+316,874156845237i</v>
      </c>
      <c r="BG105" s="20">
        <f t="shared" si="147"/>
        <v>54.951418922945038</v>
      </c>
      <c r="BH105" s="43">
        <f t="shared" si="148"/>
        <v>34.517037960993257</v>
      </c>
      <c r="BI105" s="41" t="str">
        <f t="shared" si="101"/>
        <v>1450,43445621337+1008,83401833313i</v>
      </c>
      <c r="BJ105" s="20">
        <f t="shared" si="149"/>
        <v>64.943642002473894</v>
      </c>
      <c r="BK105" s="43">
        <f t="shared" si="102"/>
        <v>34.820126834597673</v>
      </c>
      <c r="BL105">
        <f t="shared" si="150"/>
        <v>54.951418922945038</v>
      </c>
      <c r="BM105" s="43">
        <f t="shared" si="151"/>
        <v>34.517037960993257</v>
      </c>
    </row>
    <row r="106" spans="14:65" x14ac:dyDescent="0.25">
      <c r="N106" s="9">
        <v>88</v>
      </c>
      <c r="O106" s="34">
        <f t="shared" si="116"/>
        <v>75.857757502918361</v>
      </c>
      <c r="P106" s="33" t="str">
        <f t="shared" si="103"/>
        <v>54,631621870174</v>
      </c>
      <c r="Q106" s="4" t="str">
        <f t="shared" si="104"/>
        <v>1+2,12762135512049i</v>
      </c>
      <c r="R106" s="4">
        <f t="shared" si="117"/>
        <v>2.3509088946117731</v>
      </c>
      <c r="S106" s="4">
        <f t="shared" si="118"/>
        <v>1.1314285243017688</v>
      </c>
      <c r="T106" s="4" t="str">
        <f t="shared" si="105"/>
        <v>1+0,00720662061235429i</v>
      </c>
      <c r="U106" s="4">
        <f t="shared" si="119"/>
        <v>1.0000259673531735</v>
      </c>
      <c r="V106" s="4">
        <f t="shared" si="120"/>
        <v>7.206495856713571E-3</v>
      </c>
      <c r="W106" t="str">
        <f t="shared" si="106"/>
        <v>1-0,00189666569638407i</v>
      </c>
      <c r="X106" s="4">
        <f t="shared" si="121"/>
        <v>1.0000017986687644</v>
      </c>
      <c r="Y106" s="4">
        <f t="shared" si="122"/>
        <v>-1.8966634220713705E-3</v>
      </c>
      <c r="Z106" t="str">
        <f t="shared" si="107"/>
        <v>0,999999976982403+0,000260586526370176i</v>
      </c>
      <c r="AA106" s="4">
        <f t="shared" si="123"/>
        <v>1.000000010935072</v>
      </c>
      <c r="AB106" s="4">
        <f t="shared" si="124"/>
        <v>2.6058652646984628E-4</v>
      </c>
      <c r="AC106" s="47" t="str">
        <f t="shared" si="125"/>
        <v>9,99124812552556-20,9817378989312i</v>
      </c>
      <c r="AD106" s="20">
        <f t="shared" si="126"/>
        <v>27.324406967712569</v>
      </c>
      <c r="AE106" s="43">
        <f t="shared" si="127"/>
        <v>-64.536778782944268</v>
      </c>
      <c r="AF106" t="str">
        <f t="shared" si="108"/>
        <v>171,265703090588</v>
      </c>
      <c r="AG106" t="str">
        <f t="shared" si="109"/>
        <v>1+2,10725998165388i</v>
      </c>
      <c r="AH106">
        <f t="shared" si="128"/>
        <v>2.3324975091690687</v>
      </c>
      <c r="AI106">
        <f t="shared" si="129"/>
        <v>1.1277153008898533</v>
      </c>
      <c r="AJ106" t="str">
        <f t="shared" si="110"/>
        <v>1+0,00720662061235429i</v>
      </c>
      <c r="AK106">
        <f t="shared" si="130"/>
        <v>1.0000259673531735</v>
      </c>
      <c r="AL106">
        <f t="shared" si="131"/>
        <v>7.206495856713571E-3</v>
      </c>
      <c r="AM106" t="str">
        <f t="shared" si="111"/>
        <v>1-0,000599222214307753i</v>
      </c>
      <c r="AN106">
        <f t="shared" si="132"/>
        <v>1.0000001795336149</v>
      </c>
      <c r="AO106">
        <f t="shared" si="133"/>
        <v>-5.9922214258740852E-4</v>
      </c>
      <c r="AP106" s="41" t="str">
        <f t="shared" si="134"/>
        <v>31,9179555656551-66,1278097274706i</v>
      </c>
      <c r="AQ106">
        <f t="shared" si="135"/>
        <v>37.317211368918386</v>
      </c>
      <c r="AR106" s="43">
        <f t="shared" si="136"/>
        <v>-64.23475833540715</v>
      </c>
      <c r="AS106" t="str">
        <f t="shared" si="112"/>
        <v>-0,0000166666666666667</v>
      </c>
      <c r="AT106" t="str">
        <f t="shared" si="113"/>
        <v>7,30671256530365E-07i</v>
      </c>
      <c r="AU106">
        <f t="shared" si="137"/>
        <v>7.3067125653036499E-7</v>
      </c>
      <c r="AV106">
        <f t="shared" si="138"/>
        <v>1.5707963267948966</v>
      </c>
      <c r="AW106" t="str">
        <f t="shared" si="114"/>
        <v>1+0,00338583346571797i</v>
      </c>
      <c r="AX106">
        <f t="shared" si="139"/>
        <v>1.0000057319177014</v>
      </c>
      <c r="AY106">
        <f t="shared" si="140"/>
        <v>3.3858205275573649E-3</v>
      </c>
      <c r="AZ106" t="str">
        <f t="shared" si="115"/>
        <v>1+0,157287354634717i</v>
      </c>
      <c r="BA106">
        <f t="shared" si="141"/>
        <v>1.012294083716776</v>
      </c>
      <c r="BB106">
        <f t="shared" si="142"/>
        <v>0.15600921355047853</v>
      </c>
      <c r="BC106" s="41" t="str">
        <f t="shared" si="143"/>
        <v>-3,51046510330932+22,8219615411874i</v>
      </c>
      <c r="BD106">
        <f t="shared" si="144"/>
        <v>27.268618714448923</v>
      </c>
      <c r="BE106" s="43">
        <f t="shared" si="145"/>
        <v>98.744676275179742</v>
      </c>
      <c r="BF106" s="41" t="str">
        <f t="shared" si="146"/>
        <v>443,77048751352+301,675539170186i</v>
      </c>
      <c r="BG106" s="20">
        <f t="shared" si="147"/>
        <v>54.593025682161496</v>
      </c>
      <c r="BH106" s="43">
        <f t="shared" si="148"/>
        <v>34.207897492235503</v>
      </c>
      <c r="BI106" s="41" t="str">
        <f t="shared" si="101"/>
        <v>1397,11946122108+960,569722799273i</v>
      </c>
      <c r="BJ106" s="20">
        <f t="shared" si="149"/>
        <v>64.585830083367298</v>
      </c>
      <c r="BK106" s="43">
        <f t="shared" si="102"/>
        <v>34.509917939772642</v>
      </c>
      <c r="BL106">
        <f t="shared" si="150"/>
        <v>54.593025682161496</v>
      </c>
      <c r="BM106" s="43">
        <f t="shared" si="151"/>
        <v>34.207897492235503</v>
      </c>
    </row>
    <row r="107" spans="14:65" x14ac:dyDescent="0.25">
      <c r="N107" s="9">
        <v>89</v>
      </c>
      <c r="O107" s="34">
        <f t="shared" si="116"/>
        <v>77.624711662869217</v>
      </c>
      <c r="P107" s="33" t="str">
        <f t="shared" si="103"/>
        <v>54,631621870174</v>
      </c>
      <c r="Q107" s="4" t="str">
        <f t="shared" si="104"/>
        <v>1+2,17718002292168i</v>
      </c>
      <c r="R107" s="4">
        <f t="shared" si="117"/>
        <v>2.3958532618274528</v>
      </c>
      <c r="S107" s="4">
        <f t="shared" si="118"/>
        <v>1.1402274411365347</v>
      </c>
      <c r="T107" s="4" t="str">
        <f t="shared" si="105"/>
        <v>1+0,00737448437064819i</v>
      </c>
      <c r="U107" s="4">
        <f t="shared" si="119"/>
        <v>1.0000271911401875</v>
      </c>
      <c r="V107" s="4">
        <f t="shared" si="120"/>
        <v>7.3743506927670304E-3</v>
      </c>
      <c r="W107" t="str">
        <f t="shared" si="106"/>
        <v>1-0,00194084471580912i</v>
      </c>
      <c r="X107" s="4">
        <f t="shared" si="121"/>
        <v>1.0000018834373319</v>
      </c>
      <c r="Y107" s="4">
        <f t="shared" si="122"/>
        <v>-1.9408422788394044E-3</v>
      </c>
      <c r="Z107" t="str">
        <f t="shared" si="107"/>
        <v>0,999999975897617+0,000266656366317385i</v>
      </c>
      <c r="AA107" s="4">
        <f t="shared" si="123"/>
        <v>1.0000000114504262</v>
      </c>
      <c r="AB107" s="4">
        <f t="shared" si="124"/>
        <v>2.6665636642418363E-4</v>
      </c>
      <c r="AC107" s="47" t="str">
        <f t="shared" si="125"/>
        <v>9,62473337660514-20,6724967783894i</v>
      </c>
      <c r="AD107" s="20">
        <f t="shared" si="126"/>
        <v>27.159930003068581</v>
      </c>
      <c r="AE107" s="43">
        <f t="shared" si="127"/>
        <v>-65.034181246434457</v>
      </c>
      <c r="AF107" t="str">
        <f t="shared" si="108"/>
        <v>171,265703090588</v>
      </c>
      <c r="AG107" t="str">
        <f t="shared" si="109"/>
        <v>1+2,15634437214008i</v>
      </c>
      <c r="AH107">
        <f t="shared" si="128"/>
        <v>2.3769352223525564</v>
      </c>
      <c r="AI107">
        <f t="shared" si="129"/>
        <v>1.1365687101624387</v>
      </c>
      <c r="AJ107" t="str">
        <f t="shared" si="110"/>
        <v>1+0,00737448437064819i</v>
      </c>
      <c r="AK107">
        <f t="shared" si="130"/>
        <v>1.0000271911401875</v>
      </c>
      <c r="AL107">
        <f t="shared" si="131"/>
        <v>7.3743506927670304E-3</v>
      </c>
      <c r="AM107" t="str">
        <f t="shared" si="111"/>
        <v>1-0,00061317989272008i</v>
      </c>
      <c r="AN107">
        <f t="shared" si="132"/>
        <v>1.0000001879947726</v>
      </c>
      <c r="AO107">
        <f t="shared" si="133"/>
        <v>-6.1317981587034702E-4</v>
      </c>
      <c r="AP107" s="41" t="str">
        <f t="shared" si="134"/>
        <v>30,7555723759172-65,161625839534i</v>
      </c>
      <c r="AQ107">
        <f t="shared" si="135"/>
        <v>37.153298919905687</v>
      </c>
      <c r="AR107" s="43">
        <f t="shared" si="136"/>
        <v>-64.733203663122481</v>
      </c>
      <c r="AS107" t="str">
        <f t="shared" si="112"/>
        <v>-0,0000166666666666667</v>
      </c>
      <c r="AT107" t="str">
        <f t="shared" si="113"/>
        <v>7,47690776468496E-07i</v>
      </c>
      <c r="AU107">
        <f t="shared" si="137"/>
        <v>7.4769077646849599E-7</v>
      </c>
      <c r="AV107">
        <f t="shared" si="138"/>
        <v>1.5707963267948966</v>
      </c>
      <c r="AW107" t="str">
        <f t="shared" si="114"/>
        <v>1+0,00346469965849886i</v>
      </c>
      <c r="AX107">
        <f t="shared" si="139"/>
        <v>1.0000060020538495</v>
      </c>
      <c r="AY107">
        <f t="shared" si="140"/>
        <v>3.4646857950144916E-3</v>
      </c>
      <c r="AZ107" t="str">
        <f t="shared" si="115"/>
        <v>1+0,160951047772083i</v>
      </c>
      <c r="BA107">
        <f t="shared" si="141"/>
        <v>1.0128698039624497</v>
      </c>
      <c r="BB107">
        <f t="shared" si="142"/>
        <v>0.15958243302704064</v>
      </c>
      <c r="BC107" s="41" t="str">
        <f t="shared" si="143"/>
        <v>-3,51046320671391+22,3030176786992i</v>
      </c>
      <c r="BD107">
        <f t="shared" si="144"/>
        <v>27.073554874727748</v>
      </c>
      <c r="BE107" s="43">
        <f t="shared" si="145"/>
        <v>98.944888023485291</v>
      </c>
      <c r="BF107" s="41" t="str">
        <f t="shared" si="146"/>
        <v>427,271788718267+287,230637982639i</v>
      </c>
      <c r="BG107" s="20">
        <f t="shared" si="147"/>
        <v>54.233484877796329</v>
      </c>
      <c r="BH107" s="43">
        <f t="shared" si="148"/>
        <v>33.910706777050898</v>
      </c>
      <c r="BI107" s="41" t="str">
        <f t="shared" si="101"/>
        <v>1345,33458784483+914,689564417937i</v>
      </c>
      <c r="BJ107" s="20">
        <f t="shared" si="149"/>
        <v>64.226853794633456</v>
      </c>
      <c r="BK107" s="43">
        <f t="shared" si="102"/>
        <v>34.211684360362732</v>
      </c>
      <c r="BL107">
        <f t="shared" si="150"/>
        <v>54.233484877796329</v>
      </c>
      <c r="BM107" s="43">
        <f t="shared" si="151"/>
        <v>33.910706777050898</v>
      </c>
    </row>
    <row r="108" spans="14:65" x14ac:dyDescent="0.25">
      <c r="N108" s="9">
        <v>90</v>
      </c>
      <c r="O108" s="34">
        <f t="shared" si="116"/>
        <v>79.432823472428197</v>
      </c>
      <c r="P108" s="33" t="str">
        <f t="shared" si="103"/>
        <v>54,631621870174</v>
      </c>
      <c r="Q108" s="4" t="str">
        <f t="shared" si="104"/>
        <v>1+2,2278930603894i</v>
      </c>
      <c r="R108" s="4">
        <f t="shared" si="117"/>
        <v>2.4420293791294254</v>
      </c>
      <c r="S108" s="4">
        <f t="shared" si="118"/>
        <v>1.1488953425252906</v>
      </c>
      <c r="T108" s="4" t="str">
        <f t="shared" si="105"/>
        <v>1+0,00754625817816824i</v>
      </c>
      <c r="U108" s="4">
        <f t="shared" si="119"/>
        <v>1.0000284726009012</v>
      </c>
      <c r="V108" s="4">
        <f t="shared" si="120"/>
        <v>7.5461149399581552E-3</v>
      </c>
      <c r="W108" t="str">
        <f t="shared" si="106"/>
        <v>1-0,0019860527967926i</v>
      </c>
      <c r="X108" s="4">
        <f t="shared" si="121"/>
        <v>1.000001972200911</v>
      </c>
      <c r="Y108" s="4">
        <f t="shared" si="122"/>
        <v>-1.9860501855327815E-3</v>
      </c>
      <c r="Z108" t="str">
        <f t="shared" si="107"/>
        <v>0,999999974761706+0,00027286759099963i</v>
      </c>
      <c r="AA108" s="4">
        <f t="shared" si="123"/>
        <v>1.0000000119900672</v>
      </c>
      <c r="AB108" s="4">
        <f t="shared" si="124"/>
        <v>2.7286759111406697E-4</v>
      </c>
      <c r="AC108" s="47" t="str">
        <f t="shared" si="125"/>
        <v>9,26905186954956-20,3616007357066i</v>
      </c>
      <c r="AD108" s="20">
        <f t="shared" si="126"/>
        <v>26.994128518554344</v>
      </c>
      <c r="AE108" s="43">
        <f t="shared" si="127"/>
        <v>-65.523920146024963</v>
      </c>
      <c r="AF108" t="str">
        <f t="shared" si="108"/>
        <v>171,265703090588</v>
      </c>
      <c r="AG108" t="str">
        <f t="shared" si="109"/>
        <v>1+2,20657208495499i</v>
      </c>
      <c r="AH108">
        <f t="shared" si="128"/>
        <v>2.4225937270005908</v>
      </c>
      <c r="AI108">
        <f t="shared" si="129"/>
        <v>1.1452914109476728</v>
      </c>
      <c r="AJ108" t="str">
        <f t="shared" si="110"/>
        <v>1+0,00754625817816824i</v>
      </c>
      <c r="AK108">
        <f t="shared" si="130"/>
        <v>1.0000284726009012</v>
      </c>
      <c r="AL108">
        <f t="shared" si="131"/>
        <v>7.5461149399581552E-3</v>
      </c>
      <c r="AM108" t="str">
        <f t="shared" si="111"/>
        <v>1-0,000627462687227923i</v>
      </c>
      <c r="AN108">
        <f t="shared" si="132"/>
        <v>1.0000001968546925</v>
      </c>
      <c r="AO108">
        <f t="shared" si="133"/>
        <v>-6.2746260488195135E-4</v>
      </c>
      <c r="AP108" s="41" t="str">
        <f t="shared" si="134"/>
        <v>29,627256961611-64,1897257909833i</v>
      </c>
      <c r="AQ108">
        <f t="shared" si="135"/>
        <v>36.988045285224707</v>
      </c>
      <c r="AR108" s="43">
        <f t="shared" si="136"/>
        <v>-65.223954581166609</v>
      </c>
      <c r="AS108" t="str">
        <f t="shared" si="112"/>
        <v>-0,0000166666666666667</v>
      </c>
      <c r="AT108" t="str">
        <f t="shared" si="113"/>
        <v>7,65106731953168E-07i</v>
      </c>
      <c r="AU108">
        <f t="shared" si="137"/>
        <v>7.6510673195316803E-7</v>
      </c>
      <c r="AV108">
        <f t="shared" si="138"/>
        <v>1.5707963267948966</v>
      </c>
      <c r="AW108" t="str">
        <f t="shared" si="114"/>
        <v>1+0,0035454028808994i</v>
      </c>
      <c r="AX108">
        <f t="shared" si="139"/>
        <v>1.0000062849210438</v>
      </c>
      <c r="AY108">
        <f t="shared" si="140"/>
        <v>3.5453880259133036E-3</v>
      </c>
      <c r="AZ108" t="str">
        <f t="shared" si="115"/>
        <v>1+0,164700079285418i</v>
      </c>
      <c r="BA108">
        <f t="shared" si="141"/>
        <v>1.0134723065366034</v>
      </c>
      <c r="BB108">
        <f t="shared" si="142"/>
        <v>0.16323463297997681</v>
      </c>
      <c r="BC108" s="41" t="str">
        <f t="shared" si="143"/>
        <v>-3,51046122073692+21,7958991707802i</v>
      </c>
      <c r="BD108">
        <f t="shared" si="144"/>
        <v>26.878717657156521</v>
      </c>
      <c r="BE108" s="43">
        <f t="shared" si="145"/>
        <v>99.149519769498568</v>
      </c>
      <c r="BF108" s="41" t="str">
        <f t="shared" si="146"/>
        <v>411,260749450092+273,50592973226i</v>
      </c>
      <c r="BG108" s="20">
        <f t="shared" si="147"/>
        <v>53.872846175710862</v>
      </c>
      <c r="BH108" s="43">
        <f t="shared" si="148"/>
        <v>33.625599623473583</v>
      </c>
      <c r="BI108" s="41" t="str">
        <f t="shared" si="101"/>
        <v>1295,06745449976+871,088248601053i</v>
      </c>
      <c r="BJ108" s="20">
        <f t="shared" si="149"/>
        <v>63.866762942381243</v>
      </c>
      <c r="BK108" s="43">
        <f t="shared" si="102"/>
        <v>33.925565188331937</v>
      </c>
      <c r="BL108">
        <f t="shared" si="150"/>
        <v>53.872846175710862</v>
      </c>
      <c r="BM108" s="43">
        <f t="shared" si="151"/>
        <v>33.625599623473583</v>
      </c>
    </row>
    <row r="109" spans="14:65" x14ac:dyDescent="0.25">
      <c r="N109" s="9">
        <v>91</v>
      </c>
      <c r="O109" s="34">
        <f t="shared" si="116"/>
        <v>81.283051616409963</v>
      </c>
      <c r="P109" s="33" t="str">
        <f t="shared" si="103"/>
        <v>54,631621870174</v>
      </c>
      <c r="Q109" s="4" t="str">
        <f t="shared" si="104"/>
        <v>1+2,2797873562474i</v>
      </c>
      <c r="R109" s="4">
        <f t="shared" si="117"/>
        <v>2.489463875959141</v>
      </c>
      <c r="S109" s="4">
        <f t="shared" si="118"/>
        <v>1.1574316133393272</v>
      </c>
      <c r="T109" s="4" t="str">
        <f t="shared" si="105"/>
        <v>1+0,00772203311166088i</v>
      </c>
      <c r="U109" s="4">
        <f t="shared" si="119"/>
        <v>1.000029814453238</v>
      </c>
      <c r="V109" s="4">
        <f t="shared" si="120"/>
        <v>7.7218796294006627E-3</v>
      </c>
      <c r="W109" t="str">
        <f t="shared" si="106"/>
        <v>1-0,00203231390925746i</v>
      </c>
      <c r="X109" s="4">
        <f t="shared" si="121"/>
        <v>1.0000020651477803</v>
      </c>
      <c r="Y109" s="4">
        <f t="shared" si="122"/>
        <v>-2.0323111112424655E-3</v>
      </c>
      <c r="Z109" t="str">
        <f t="shared" si="107"/>
        <v>0,999999973572262+0,000279223493690452i</v>
      </c>
      <c r="AA109" s="4">
        <f t="shared" si="123"/>
        <v>1.000000012555142</v>
      </c>
      <c r="AB109" s="4">
        <f t="shared" si="124"/>
        <v>2.7922349381307343E-4</v>
      </c>
      <c r="AC109" s="47" t="str">
        <f t="shared" si="125"/>
        <v>8,92409082090128-20,0494455188395i</v>
      </c>
      <c r="AD109" s="20">
        <f t="shared" si="126"/>
        <v>26.827042091076446</v>
      </c>
      <c r="AE109" s="43">
        <f t="shared" si="127"/>
        <v>-66.005956583756713</v>
      </c>
      <c r="AF109" t="str">
        <f t="shared" si="108"/>
        <v>171,265703090588</v>
      </c>
      <c r="AG109" t="str">
        <f t="shared" si="109"/>
        <v>1+2,25796975149677i</v>
      </c>
      <c r="AH109">
        <f t="shared" si="128"/>
        <v>2.4694994226916482</v>
      </c>
      <c r="AI109">
        <f t="shared" si="129"/>
        <v>1.1538827177385342</v>
      </c>
      <c r="AJ109" t="str">
        <f t="shared" si="110"/>
        <v>1+0,00772203311166088i</v>
      </c>
      <c r="AK109">
        <f t="shared" si="130"/>
        <v>1.000029814453238</v>
      </c>
      <c r="AL109">
        <f t="shared" si="131"/>
        <v>7.7218796294006627E-3</v>
      </c>
      <c r="AM109" t="str">
        <f t="shared" si="111"/>
        <v>1-0,000642078170757983i</v>
      </c>
      <c r="AN109">
        <f t="shared" si="132"/>
        <v>1.0000002061321673</v>
      </c>
      <c r="AO109">
        <f t="shared" si="133"/>
        <v>-6.4207808252268565E-4</v>
      </c>
      <c r="AP109" s="41" t="str">
        <f t="shared" si="134"/>
        <v>28,5326773465952-63,2133689170256i</v>
      </c>
      <c r="AQ109">
        <f t="shared" si="135"/>
        <v>36.82149020797619</v>
      </c>
      <c r="AR109" s="43">
        <f t="shared" si="136"/>
        <v>-65.706967031076942</v>
      </c>
      <c r="AS109" t="str">
        <f t="shared" si="112"/>
        <v>-0,0000166666666666667</v>
      </c>
      <c r="AT109" t="str">
        <f t="shared" si="113"/>
        <v>7,82928357154506E-07i</v>
      </c>
      <c r="AU109">
        <f t="shared" si="137"/>
        <v>7.8292835715450602E-7</v>
      </c>
      <c r="AV109">
        <f t="shared" si="138"/>
        <v>1.5707963267948966</v>
      </c>
      <c r="AW109" t="str">
        <f t="shared" si="114"/>
        <v>1+0,00362798592283635i</v>
      </c>
      <c r="AX109">
        <f t="shared" si="139"/>
        <v>1.0000065811192727</v>
      </c>
      <c r="AY109">
        <f t="shared" si="140"/>
        <v>3.6279700054376264E-3</v>
      </c>
      <c r="AZ109" t="str">
        <f t="shared" si="115"/>
        <v>1+0,168536436960853i</v>
      </c>
      <c r="BA109">
        <f t="shared" si="141"/>
        <v>1.0141028205184421</v>
      </c>
      <c r="BB109">
        <f t="shared" si="142"/>
        <v>0.16696735993532461</v>
      </c>
      <c r="BC109" s="41" t="str">
        <f t="shared" si="143"/>
        <v>-3,51045914116614+21,3003371364404i</v>
      </c>
      <c r="BD109">
        <f t="shared" si="144"/>
        <v>26.684117177760946</v>
      </c>
      <c r="BE109" s="43">
        <f t="shared" si="145"/>
        <v>99.358657671224208</v>
      </c>
      <c r="BF109" s="41" t="str">
        <f t="shared" si="146"/>
        <v>395,732292751146+260,468902418333i</v>
      </c>
      <c r="BG109" s="20">
        <f t="shared" si="147"/>
        <v>53.511159268837396</v>
      </c>
      <c r="BH109" s="43">
        <f t="shared" si="148"/>
        <v>33.352701087467487</v>
      </c>
      <c r="BI109" s="41" t="str">
        <f t="shared" si="101"/>
        <v>1246,30327144953+829,663595646434i</v>
      </c>
      <c r="BJ109" s="20">
        <f t="shared" si="149"/>
        <v>63.505607385737136</v>
      </c>
      <c r="BK109" s="43">
        <f t="shared" si="102"/>
        <v>33.651690640147251</v>
      </c>
      <c r="BL109">
        <f t="shared" si="150"/>
        <v>53.511159268837396</v>
      </c>
      <c r="BM109" s="43">
        <f t="shared" si="151"/>
        <v>33.352701087467487</v>
      </c>
    </row>
    <row r="110" spans="14:65" x14ac:dyDescent="0.25">
      <c r="N110" s="9">
        <v>92</v>
      </c>
      <c r="O110" s="34">
        <f t="shared" si="116"/>
        <v>83.176377110267126</v>
      </c>
      <c r="P110" s="33" t="str">
        <f t="shared" si="103"/>
        <v>54,631621870174</v>
      </c>
      <c r="Q110" s="4" t="str">
        <f t="shared" si="104"/>
        <v>1+2,33289042553823i</v>
      </c>
      <c r="R110" s="4">
        <f t="shared" si="117"/>
        <v>2.5381839447857093</v>
      </c>
      <c r="S110" s="4">
        <f t="shared" si="118"/>
        <v>1.1658358024152089</v>
      </c>
      <c r="T110" s="4" t="str">
        <f t="shared" si="105"/>
        <v>1+0,00790190236932253i</v>
      </c>
      <c r="U110" s="4">
        <f t="shared" si="119"/>
        <v>1.0000312195431973</v>
      </c>
      <c r="V110" s="4">
        <f t="shared" si="120"/>
        <v>7.9017379103949858E-3</v>
      </c>
      <c r="W110" t="str">
        <f t="shared" si="106"/>
        <v>1-0,00207965258145786i</v>
      </c>
      <c r="X110" s="4">
        <f t="shared" si="121"/>
        <v>1.0000021624750917</v>
      </c>
      <c r="Y110" s="4">
        <f t="shared" si="122"/>
        <v>-2.0796495833311276E-3</v>
      </c>
      <c r="Z110" t="str">
        <f t="shared" si="107"/>
        <v>0,999999972326761+0,000285727444373589i</v>
      </c>
      <c r="AA110" s="4">
        <f t="shared" si="123"/>
        <v>1.0000000131468476</v>
      </c>
      <c r="AB110" s="4">
        <f t="shared" si="124"/>
        <v>2.8572744450498018E-4</v>
      </c>
      <c r="AC110" s="47" t="str">
        <f t="shared" si="125"/>
        <v>8,58972210025376-19,7364115238444i</v>
      </c>
      <c r="AD110" s="20">
        <f t="shared" si="126"/>
        <v>26.65870985629229</v>
      </c>
      <c r="AE110" s="43">
        <f t="shared" si="127"/>
        <v>-66.48026097120723</v>
      </c>
      <c r="AF110" t="str">
        <f t="shared" si="108"/>
        <v>171,265703090588</v>
      </c>
      <c r="AG110" t="str">
        <f t="shared" si="109"/>
        <v>1+2,31056462348856i</v>
      </c>
      <c r="AH110">
        <f t="shared" si="128"/>
        <v>2.5176792645841193</v>
      </c>
      <c r="AI110">
        <f t="shared" si="129"/>
        <v>1.1623421116855179</v>
      </c>
      <c r="AJ110" t="str">
        <f t="shared" si="110"/>
        <v>1+0,00790190236932253i</v>
      </c>
      <c r="AK110">
        <f t="shared" si="130"/>
        <v>1.0000312195431973</v>
      </c>
      <c r="AL110">
        <f t="shared" si="131"/>
        <v>7.9017379103949858E-3</v>
      </c>
      <c r="AM110" t="str">
        <f t="shared" si="111"/>
        <v>1-0,00065703409263309i</v>
      </c>
      <c r="AN110">
        <f t="shared" si="132"/>
        <v>1.0000002158468762</v>
      </c>
      <c r="AO110">
        <f t="shared" si="133"/>
        <v>-6.5703399808726671E-4</v>
      </c>
      <c r="AP110" s="41" t="str">
        <f t="shared" si="134"/>
        <v>27,4714517263153-62,233767055492i</v>
      </c>
      <c r="AQ110">
        <f t="shared" si="135"/>
        <v>36.653673013890163</v>
      </c>
      <c r="AR110" s="43">
        <f t="shared" si="136"/>
        <v>-66.182206391906803</v>
      </c>
      <c r="AS110" t="str">
        <f t="shared" si="112"/>
        <v>-0,0000166666666666667</v>
      </c>
      <c r="AT110" t="str">
        <f t="shared" si="113"/>
        <v>8,01165101334089E-07i</v>
      </c>
      <c r="AU110">
        <f t="shared" si="137"/>
        <v>8.0116510133408905E-7</v>
      </c>
      <c r="AV110">
        <f t="shared" si="138"/>
        <v>1.5707963267948966</v>
      </c>
      <c r="AW110" t="str">
        <f t="shared" si="114"/>
        <v>1+0,00371249257093167i</v>
      </c>
      <c r="AX110">
        <f t="shared" si="139"/>
        <v>1.0000068912767999</v>
      </c>
      <c r="AY110">
        <f t="shared" si="140"/>
        <v>3.7124755151379963E-3</v>
      </c>
      <c r="AZ110" t="str">
        <f t="shared" si="115"/>
        <v>1+0,172462154886007i</v>
      </c>
      <c r="BA110">
        <f t="shared" si="141"/>
        <v>1.0147626298144434</v>
      </c>
      <c r="BB110">
        <f t="shared" si="142"/>
        <v>0.17078217675214183</v>
      </c>
      <c r="BC110" s="41" t="str">
        <f t="shared" si="143"/>
        <v>-3,51045696359081+20,8160688220824i</v>
      </c>
      <c r="BD110">
        <f t="shared" si="144"/>
        <v>26.489763977129549</v>
      </c>
      <c r="BE110" s="43">
        <f t="shared" si="145"/>
        <v>99.572388765391921</v>
      </c>
      <c r="BF110" s="41" t="str">
        <f t="shared" si="146"/>
        <v>380,680650819139+248,088069671618i</v>
      </c>
      <c r="BG110" s="20">
        <f t="shared" si="147"/>
        <v>53.148473833421825</v>
      </c>
      <c r="BH110" s="43">
        <f t="shared" si="148"/>
        <v>33.092127794184762</v>
      </c>
      <c r="BI110" s="41" t="str">
        <f t="shared" si="101"/>
        <v>1199,02502907197+790,316590707934i</v>
      </c>
      <c r="BJ110" s="20">
        <f t="shared" si="149"/>
        <v>63.143436991019691</v>
      </c>
      <c r="BK110" s="43">
        <f t="shared" si="102"/>
        <v>33.390182373485203</v>
      </c>
      <c r="BL110">
        <f t="shared" si="150"/>
        <v>53.148473833421825</v>
      </c>
      <c r="BM110" s="43">
        <f t="shared" si="151"/>
        <v>33.092127794184762</v>
      </c>
    </row>
    <row r="111" spans="14:65" x14ac:dyDescent="0.25">
      <c r="N111" s="9">
        <v>93</v>
      </c>
      <c r="O111" s="34">
        <f t="shared" si="116"/>
        <v>85.113803820237734</v>
      </c>
      <c r="P111" s="33" t="str">
        <f t="shared" si="103"/>
        <v>54,631621870174</v>
      </c>
      <c r="Q111" s="4" t="str">
        <f t="shared" si="104"/>
        <v>1+2,38723042421214i</v>
      </c>
      <c r="R111" s="4">
        <f t="shared" si="117"/>
        <v>2.5882173591651982</v>
      </c>
      <c r="S111" s="4">
        <f t="shared" si="118"/>
        <v>1.1741076159855031</v>
      </c>
      <c r="T111" s="4" t="str">
        <f t="shared" si="105"/>
        <v>1+0,00808596132021444i</v>
      </c>
      <c r="U111" s="4">
        <f t="shared" si="119"/>
        <v>1.0000326908508901</v>
      </c>
      <c r="V111" s="4">
        <f t="shared" si="120"/>
        <v>8.0857850996097803E-3</v>
      </c>
      <c r="W111" t="str">
        <f t="shared" si="106"/>
        <v>1-0,00212809391298441i</v>
      </c>
      <c r="X111" s="4">
        <f t="shared" si="121"/>
        <v>1.0000022643892874</v>
      </c>
      <c r="Y111" s="4">
        <f t="shared" si="122"/>
        <v>-2.1280907004341291E-3</v>
      </c>
      <c r="Z111" t="str">
        <f t="shared" si="107"/>
        <v>0,999999971022562+0,000292382891529783i</v>
      </c>
      <c r="AA111" s="4">
        <f t="shared" si="123"/>
        <v>1.0000000137664398</v>
      </c>
      <c r="AB111" s="4">
        <f t="shared" si="124"/>
        <v>2.9238289167057103E-4</v>
      </c>
      <c r="AC111" s="47" t="str">
        <f t="shared" si="125"/>
        <v>8,26580355739386-19,4228634178165i</v>
      </c>
      <c r="AD111" s="20">
        <f t="shared" si="126"/>
        <v>26.489170454790024</v>
      </c>
      <c r="AE111" s="43">
        <f t="shared" si="127"/>
        <v>-66.94681265112915</v>
      </c>
      <c r="AF111" t="str">
        <f t="shared" si="108"/>
        <v>171,265703090588</v>
      </c>
      <c r="AG111" t="str">
        <f t="shared" si="109"/>
        <v>1+2,36438458742767i</v>
      </c>
      <c r="AH111">
        <f t="shared" si="128"/>
        <v>2.5671607813429826</v>
      </c>
      <c r="AI111">
        <f t="shared" si="129"/>
        <v>1.1706692340978093</v>
      </c>
      <c r="AJ111" t="str">
        <f t="shared" si="110"/>
        <v>1+0,00808596132021444i</v>
      </c>
      <c r="AK111">
        <f t="shared" si="130"/>
        <v>1.0000326908508901</v>
      </c>
      <c r="AL111">
        <f t="shared" si="131"/>
        <v>8.0857850996097803E-3</v>
      </c>
      <c r="AM111" t="str">
        <f t="shared" si="111"/>
        <v>1-0,000672338382680986i</v>
      </c>
      <c r="AN111">
        <f t="shared" si="132"/>
        <v>1.0000002260194247</v>
      </c>
      <c r="AO111">
        <f t="shared" si="133"/>
        <v>-6.7233828137331232E-4</v>
      </c>
      <c r="AP111" s="41" t="str">
        <f t="shared" si="134"/>
        <v>26,4431526507183-61,2520832255104i</v>
      </c>
      <c r="AQ111">
        <f t="shared" si="135"/>
        <v>36.484632555463286</v>
      </c>
      <c r="AR111" s="43">
        <f t="shared" si="136"/>
        <v>-66.649647105287428</v>
      </c>
      <c r="AS111" t="str">
        <f t="shared" si="112"/>
        <v>-0,0000166666666666667</v>
      </c>
      <c r="AT111" t="str">
        <f t="shared" si="113"/>
        <v>8,19826633855074E-07i</v>
      </c>
      <c r="AU111">
        <f t="shared" si="137"/>
        <v>8.1982663385507396E-7</v>
      </c>
      <c r="AV111">
        <f t="shared" si="138"/>
        <v>1.5707963267948966</v>
      </c>
      <c r="AW111" t="str">
        <f t="shared" si="114"/>
        <v>1+0,00379896763172874i</v>
      </c>
      <c r="AX111">
        <f t="shared" si="139"/>
        <v>1.0000072160514979</v>
      </c>
      <c r="AY111">
        <f t="shared" si="140"/>
        <v>3.7989493561236751E-3</v>
      </c>
      <c r="AZ111" t="str">
        <f t="shared" si="115"/>
        <v>1+0,17647931452849i</v>
      </c>
      <c r="BA111">
        <f t="shared" si="141"/>
        <v>1.0154530754576725</v>
      </c>
      <c r="BB111">
        <f t="shared" si="142"/>
        <v>0.17468066174302924</v>
      </c>
      <c r="BC111" s="41" t="str">
        <f t="shared" si="143"/>
        <v>-3,51045468339246+20,342837462185i</v>
      </c>
      <c r="BD111">
        <f t="shared" si="144"/>
        <v>26.295669035708542</v>
      </c>
      <c r="BE111" s="43">
        <f t="shared" si="145"/>
        <v>99.790800915738103</v>
      </c>
      <c r="BF111" s="41" t="str">
        <f t="shared" si="146"/>
        <v>366,099424748805+236,33298011238i</v>
      </c>
      <c r="BG111" s="20">
        <f t="shared" si="147"/>
        <v>52.78483949049857</v>
      </c>
      <c r="BH111" s="43">
        <f t="shared" si="148"/>
        <v>32.843988264608946</v>
      </c>
      <c r="BI111" s="41" t="str">
        <f t="shared" si="101"/>
        <v>1153,21368421041+752,951418787847i</v>
      </c>
      <c r="BJ111" s="20">
        <f t="shared" si="149"/>
        <v>62.780301591171828</v>
      </c>
      <c r="BK111" s="43">
        <f t="shared" si="102"/>
        <v>33.141153810450703</v>
      </c>
      <c r="BL111">
        <f t="shared" si="150"/>
        <v>52.78483949049857</v>
      </c>
      <c r="BM111" s="43">
        <f t="shared" si="151"/>
        <v>32.843988264608946</v>
      </c>
    </row>
    <row r="112" spans="14:65" x14ac:dyDescent="0.25">
      <c r="N112" s="9">
        <v>94</v>
      </c>
      <c r="O112" s="34">
        <f t="shared" si="116"/>
        <v>87.096358995608071</v>
      </c>
      <c r="P112" s="33" t="str">
        <f t="shared" si="103"/>
        <v>54,631621870174</v>
      </c>
      <c r="Q112" s="4" t="str">
        <f t="shared" si="104"/>
        <v>1+2,44283616405569i</v>
      </c>
      <c r="R112" s="4">
        <f t="shared" si="117"/>
        <v>2.6395924921128109</v>
      </c>
      <c r="S112" s="4">
        <f t="shared" si="118"/>
        <v>1.1822469109721185</v>
      </c>
      <c r="T112" s="4" t="str">
        <f t="shared" si="105"/>
        <v>1+0,00827430755482866i</v>
      </c>
      <c r="U112" s="4">
        <f t="shared" si="119"/>
        <v>1.0000342314968582</v>
      </c>
      <c r="V112" s="4">
        <f t="shared" si="120"/>
        <v>8.2741187313978733E-3</v>
      </c>
      <c r="W112" t="str">
        <f t="shared" si="106"/>
        <v>1-0,00217766358807227i</v>
      </c>
      <c r="X112" s="4">
        <f t="shared" si="121"/>
        <v>1.0000023711065404</v>
      </c>
      <c r="Y112" s="4">
        <f t="shared" si="122"/>
        <v>-2.1776601457630658E-3</v>
      </c>
      <c r="Z112" t="str">
        <f t="shared" si="107"/>
        <v>0,999999969656897+0,00029919336396521i</v>
      </c>
      <c r="AA112" s="4">
        <f t="shared" si="123"/>
        <v>1.0000000144152317</v>
      </c>
      <c r="AB112" s="4">
        <f t="shared" si="124"/>
        <v>2.9919336411606717E-4</v>
      </c>
      <c r="AC112" s="47" t="str">
        <f t="shared" si="125"/>
        <v>7,9521803245685-19,1091498645656i</v>
      </c>
      <c r="AD112" s="20">
        <f t="shared" si="126"/>
        <v>26.318461983098477</v>
      </c>
      <c r="AE112" s="43">
        <f t="shared" si="127"/>
        <v>-67.405599511170252</v>
      </c>
      <c r="AF112" t="str">
        <f t="shared" si="108"/>
        <v>171,265703090588</v>
      </c>
      <c r="AG112" t="str">
        <f t="shared" si="109"/>
        <v>1+2,41945817937135i</v>
      </c>
      <c r="AH112">
        <f t="shared" si="128"/>
        <v>2.617972093381999</v>
      </c>
      <c r="AI112">
        <f t="shared" si="129"/>
        <v>1.1788638797887285</v>
      </c>
      <c r="AJ112" t="str">
        <f t="shared" si="110"/>
        <v>1+0,00827430755482866i</v>
      </c>
      <c r="AK112">
        <f t="shared" si="130"/>
        <v>1.0000342314968582</v>
      </c>
      <c r="AL112">
        <f t="shared" si="131"/>
        <v>8.2741187313978733E-3</v>
      </c>
      <c r="AM112" t="str">
        <f t="shared" si="111"/>
        <v>1-0,000687999155438827i</v>
      </c>
      <c r="AN112">
        <f t="shared" si="132"/>
        <v>1.0000002366713909</v>
      </c>
      <c r="AO112">
        <f t="shared" si="133"/>
        <v>-6.8799904688570019E-4</v>
      </c>
      <c r="AP112" s="41" t="str">
        <f t="shared" si="134"/>
        <v>25,4473111389216-60,269430636188i</v>
      </c>
      <c r="AQ112">
        <f t="shared" si="135"/>
        <v>36.314407160960336</v>
      </c>
      <c r="AR112" s="43">
        <f t="shared" si="136"/>
        <v>-67.10927229150812</v>
      </c>
      <c r="AS112" t="str">
        <f t="shared" si="112"/>
        <v>-0,0000166666666666667</v>
      </c>
      <c r="AT112" t="str">
        <f t="shared" si="113"/>
        <v>8,38922849309016E-07i</v>
      </c>
      <c r="AU112">
        <f t="shared" si="137"/>
        <v>8.3892284930901605E-7</v>
      </c>
      <c r="AV112">
        <f t="shared" si="138"/>
        <v>1.5707963267948966</v>
      </c>
      <c r="AW112" t="str">
        <f t="shared" si="114"/>
        <v>1+0,00388745695544942i</v>
      </c>
      <c r="AX112">
        <f t="shared" si="139"/>
        <v>1.0000075561322428</v>
      </c>
      <c r="AY112">
        <f t="shared" si="140"/>
        <v>3.8874373727937699E-3</v>
      </c>
      <c r="AZ112" t="str">
        <f t="shared" si="115"/>
        <v>1+0,180590045839514i</v>
      </c>
      <c r="BA112">
        <f t="shared" si="141"/>
        <v>1.0161755579900147</v>
      </c>
      <c r="BB112">
        <f t="shared" si="142"/>
        <v>0.17866440770088873</v>
      </c>
      <c r="BC112" s="41" t="str">
        <f t="shared" si="143"/>
        <v>-3,51045229573479+19,8803921431625i</v>
      </c>
      <c r="BD112">
        <f t="shared" si="144"/>
        <v>26.101843789408079</v>
      </c>
      <c r="BE112" s="43">
        <f t="shared" si="145"/>
        <v>100.01398275588306</v>
      </c>
      <c r="BF112" s="41" t="str">
        <f t="shared" si="146"/>
        <v>351,981643153546+225,174222257168i</v>
      </c>
      <c r="BG112" s="20">
        <f t="shared" si="147"/>
        <v>52.420305772506559</v>
      </c>
      <c r="BH112" s="43">
        <f t="shared" si="148"/>
        <v>32.60838324471289</v>
      </c>
      <c r="BI112" s="41" t="str">
        <f t="shared" si="101"/>
        <v>1108,84834348464+717,475485570263i</v>
      </c>
      <c r="BJ112" s="20">
        <f t="shared" si="149"/>
        <v>62.416250950368394</v>
      </c>
      <c r="BK112" s="43">
        <f t="shared" si="102"/>
        <v>32.904710464375043</v>
      </c>
      <c r="BL112">
        <f t="shared" si="150"/>
        <v>52.420305772506559</v>
      </c>
      <c r="BM112" s="43">
        <f t="shared" si="151"/>
        <v>32.60838324471289</v>
      </c>
    </row>
    <row r="113" spans="14:65" x14ac:dyDescent="0.25">
      <c r="N113" s="9">
        <v>95</v>
      </c>
      <c r="O113" s="34">
        <f t="shared" si="116"/>
        <v>89.125093813374562</v>
      </c>
      <c r="P113" s="33" t="str">
        <f t="shared" si="103"/>
        <v>54,631621870174</v>
      </c>
      <c r="Q113" s="4" t="str">
        <f t="shared" si="104"/>
        <v>1+2,49973712796819i</v>
      </c>
      <c r="R113" s="4">
        <f t="shared" si="117"/>
        <v>2.6923383347831034</v>
      </c>
      <c r="S113" s="4">
        <f t="shared" si="118"/>
        <v>1.1902536881843209</v>
      </c>
      <c r="T113" s="4" t="str">
        <f t="shared" si="105"/>
        <v>1+0,00846704093683186i</v>
      </c>
      <c r="U113" s="4">
        <f t="shared" si="119"/>
        <v>1.0000358447486899</v>
      </c>
      <c r="V113" s="4">
        <f t="shared" si="120"/>
        <v>8.4668386092721683E-3</v>
      </c>
      <c r="W113" t="str">
        <f t="shared" si="106"/>
        <v>1-0,00222838788921932i</v>
      </c>
      <c r="X113" s="4">
        <f t="shared" si="121"/>
        <v>1.0000024828532101</v>
      </c>
      <c r="Y113" s="4">
        <f t="shared" si="122"/>
        <v>-2.2283842007190481E-3</v>
      </c>
      <c r="Z113" t="str">
        <f t="shared" si="107"/>
        <v>0,999999968226871+0,000306162472682505i</v>
      </c>
      <c r="AA113" s="4">
        <f t="shared" si="123"/>
        <v>1.0000000150946011</v>
      </c>
      <c r="AB113" s="4">
        <f t="shared" si="124"/>
        <v>3.0616247284415133E-4</v>
      </c>
      <c r="AC113" s="47" t="str">
        <f t="shared" si="125"/>
        <v>7,64868608712558-18,7956033465237i</v>
      </c>
      <c r="AD113" s="20">
        <f t="shared" si="126"/>
        <v>26.146621949421814</v>
      </c>
      <c r="AE113" s="43">
        <f t="shared" si="127"/>
        <v>-67.85661759208628</v>
      </c>
      <c r="AF113" t="str">
        <f t="shared" si="108"/>
        <v>171,265703090588</v>
      </c>
      <c r="AG113" t="str">
        <f t="shared" si="109"/>
        <v>1+2,47581460006706i</v>
      </c>
      <c r="AH113">
        <f t="shared" si="128"/>
        <v>2.6701419314158592</v>
      </c>
      <c r="AI113">
        <f t="shared" si="129"/>
        <v>1.18692599030863</v>
      </c>
      <c r="AJ113" t="str">
        <f t="shared" si="110"/>
        <v>1+0,00846704093683186i</v>
      </c>
      <c r="AK113">
        <f t="shared" si="130"/>
        <v>1.0000358447486899</v>
      </c>
      <c r="AL113">
        <f t="shared" si="131"/>
        <v>8.4668386092721683E-3</v>
      </c>
      <c r="AM113" t="str">
        <f t="shared" si="111"/>
        <v>1-0,000704024714455629i</v>
      </c>
      <c r="AN113">
        <f t="shared" si="132"/>
        <v>1.0000002478253687</v>
      </c>
      <c r="AO113">
        <f t="shared" si="133"/>
        <v>-7.0402459813885966E-4</v>
      </c>
      <c r="AP113" s="41" t="str">
        <f t="shared" si="134"/>
        <v>24,4834207032923-59,2868720053662i</v>
      </c>
      <c r="AQ113">
        <f t="shared" si="135"/>
        <v>36.143034588187298</v>
      </c>
      <c r="AR113" s="43">
        <f t="shared" si="136"/>
        <v>-67.56107335908716</v>
      </c>
      <c r="AS113" t="str">
        <f t="shared" si="112"/>
        <v>-0,0000166666666666667</v>
      </c>
      <c r="AT113" t="str">
        <f t="shared" si="113"/>
        <v>8,5846387276212E-07i</v>
      </c>
      <c r="AU113">
        <f t="shared" si="137"/>
        <v>8.5846387276211995E-7</v>
      </c>
      <c r="AV113">
        <f t="shared" si="138"/>
        <v>1.5707963267948966</v>
      </c>
      <c r="AW113" t="str">
        <f t="shared" si="114"/>
        <v>1+0,00397800746030447i</v>
      </c>
      <c r="AX113">
        <f t="shared" si="139"/>
        <v>1.0000079122403753</v>
      </c>
      <c r="AY113">
        <f t="shared" si="140"/>
        <v>3.9779864771198594E-3</v>
      </c>
      <c r="AZ113" t="str">
        <f t="shared" si="115"/>
        <v>1+0,184796528383235i</v>
      </c>
      <c r="BA113">
        <f t="shared" si="141"/>
        <v>1.0169315399290633</v>
      </c>
      <c r="BB113">
        <f t="shared" si="142"/>
        <v>0.18273502082637985</v>
      </c>
      <c r="BC113" s="41" t="str">
        <f t="shared" si="143"/>
        <v>-3,51044979555381+19,4284876703274i</v>
      </c>
      <c r="BD113">
        <f t="shared" si="144"/>
        <v>25.908300145501315</v>
      </c>
      <c r="BE113" s="43">
        <f t="shared" si="145"/>
        <v>100.24202362648771</v>
      </c>
      <c r="BF113" s="41" t="str">
        <f t="shared" si="146"/>
        <v>338,319819363495+214,583425263039i</v>
      </c>
      <c r="BG113" s="20">
        <f t="shared" si="147"/>
        <v>52.054922094923135</v>
      </c>
      <c r="BH113" s="43">
        <f t="shared" si="148"/>
        <v>32.385406034401456</v>
      </c>
      <c r="BI113" s="41" t="str">
        <f t="shared" si="101"/>
        <v>1065,90644256621+683,799424971616i</v>
      </c>
      <c r="BJ113" s="20">
        <f t="shared" si="149"/>
        <v>62.051334733688634</v>
      </c>
      <c r="BK113" s="43">
        <f t="shared" si="102"/>
        <v>32.680950267400455</v>
      </c>
      <c r="BL113">
        <f t="shared" si="150"/>
        <v>52.054922094923135</v>
      </c>
      <c r="BM113" s="43">
        <f t="shared" si="151"/>
        <v>32.385406034401456</v>
      </c>
    </row>
    <row r="114" spans="14:65" x14ac:dyDescent="0.25">
      <c r="N114" s="9">
        <v>96</v>
      </c>
      <c r="O114" s="34">
        <f t="shared" si="116"/>
        <v>91.201083935590972</v>
      </c>
      <c r="P114" s="33" t="str">
        <f t="shared" si="103"/>
        <v>54,631621870174</v>
      </c>
      <c r="Q114" s="4" t="str">
        <f t="shared" si="104"/>
        <v>1+2,55796348559386i</v>
      </c>
      <c r="R114" s="4">
        <f t="shared" si="117"/>
        <v>2.7464845154545277</v>
      </c>
      <c r="S114" s="4">
        <f t="shared" si="118"/>
        <v>1.1981280854606364</v>
      </c>
      <c r="T114" s="4" t="str">
        <f t="shared" si="105"/>
        <v>1+0,00866426365601432i</v>
      </c>
      <c r="U114" s="4">
        <f t="shared" si="119"/>
        <v>1.0000375340279488</v>
      </c>
      <c r="V114" s="4">
        <f t="shared" si="120"/>
        <v>8.6640468585675954E-3</v>
      </c>
      <c r="W114" t="str">
        <f t="shared" si="106"/>
        <v>1-0,00228029371112143i</v>
      </c>
      <c r="X114" s="4">
        <f t="shared" si="121"/>
        <v>1.0000025998663249</v>
      </c>
      <c r="Y114" s="4">
        <f t="shared" si="122"/>
        <v>-2.280289758822736E-3</v>
      </c>
      <c r="Z114" t="str">
        <f t="shared" si="107"/>
        <v>0,999999966729449+0,000313293912795355i</v>
      </c>
      <c r="AA114" s="4">
        <f t="shared" si="123"/>
        <v>1.0000000158059874</v>
      </c>
      <c r="AB114" s="4">
        <f t="shared" si="124"/>
        <v>3.1329391296856232E-4</v>
      </c>
      <c r="AC114" s="47" t="str">
        <f t="shared" si="125"/>
        <v>7,35514431669359-18,4825400761384i</v>
      </c>
      <c r="AD114" s="20">
        <f t="shared" si="126"/>
        <v>25.97368723397356</v>
      </c>
      <c r="AE114" s="43">
        <f t="shared" si="127"/>
        <v>-68.299870692692267</v>
      </c>
      <c r="AF114" t="str">
        <f t="shared" si="108"/>
        <v>171,265703090588</v>
      </c>
      <c r="AG114" t="str">
        <f t="shared" si="109"/>
        <v>1+2,533483730435i</v>
      </c>
      <c r="AH114">
        <f t="shared" si="128"/>
        <v>2.7236996553178989</v>
      </c>
      <c r="AI114">
        <f t="shared" si="129"/>
        <v>1.1948556471056393</v>
      </c>
      <c r="AJ114" t="str">
        <f t="shared" si="110"/>
        <v>1+0,00866426365601432i</v>
      </c>
      <c r="AK114">
        <f t="shared" si="130"/>
        <v>1.0000375340279488</v>
      </c>
      <c r="AL114">
        <f t="shared" si="131"/>
        <v>8.6640468585675954E-3</v>
      </c>
      <c r="AM114" t="str">
        <f t="shared" si="111"/>
        <v>1-0,000720423556694904i</v>
      </c>
      <c r="AN114">
        <f t="shared" si="132"/>
        <v>1.0000002595050168</v>
      </c>
      <c r="AO114">
        <f t="shared" si="133"/>
        <v>-7.2042343205924188E-4</v>
      </c>
      <c r="AP114" s="41" t="str">
        <f t="shared" si="134"/>
        <v>23,5509412634749-58,3054191675947i</v>
      </c>
      <c r="AQ114">
        <f t="shared" si="135"/>
        <v>35.970551982919282</v>
      </c>
      <c r="AR114" s="43">
        <f t="shared" si="136"/>
        <v>-68.005049610145804</v>
      </c>
      <c r="AS114" t="str">
        <f t="shared" si="112"/>
        <v>-0,0000166666666666667</v>
      </c>
      <c r="AT114" t="str">
        <f t="shared" si="113"/>
        <v>8,78460065123674E-07i</v>
      </c>
      <c r="AU114">
        <f t="shared" si="137"/>
        <v>8.7846006512367403E-7</v>
      </c>
      <c r="AV114">
        <f t="shared" si="138"/>
        <v>1.5707963267948966</v>
      </c>
      <c r="AW114" t="str">
        <f t="shared" si="114"/>
        <v>1+0,00407066715737012i</v>
      </c>
      <c r="AX114">
        <f t="shared" si="139"/>
        <v>1.0000082851312313</v>
      </c>
      <c r="AY114">
        <f t="shared" si="140"/>
        <v>4.070644673492785E-3</v>
      </c>
      <c r="AZ114" t="str">
        <f t="shared" si="115"/>
        <v>1+0,189100992492376i</v>
      </c>
      <c r="BA114">
        <f t="shared" si="141"/>
        <v>1.0177225483213004</v>
      </c>
      <c r="BB114">
        <f t="shared" si="142"/>
        <v>0.18689411955027174</v>
      </c>
      <c r="BC114" s="41" t="str">
        <f t="shared" si="143"/>
        <v>-3,51044717754672+18,9868844378839i</v>
      </c>
      <c r="BD114">
        <f t="shared" si="144"/>
        <v>25.715050498793385</v>
      </c>
      <c r="BE114" s="43">
        <f t="shared" si="145"/>
        <v>100.47501350635542</v>
      </c>
      <c r="BF114" s="41" t="str">
        <f t="shared" si="146"/>
        <v>325,106006937212+204,533255809194i</v>
      </c>
      <c r="BG114" s="20">
        <f t="shared" si="147"/>
        <v>51.688737732766945</v>
      </c>
      <c r="BH114" s="43">
        <f t="shared" si="148"/>
        <v>32.175142813663165</v>
      </c>
      <c r="BI114" s="41" t="str">
        <f t="shared" ref="BI114:BI177" si="152">IMPRODUCT(AP114,BC114)</f>
        <v>1024,36392055057+651,837094325551i</v>
      </c>
      <c r="BJ114" s="20">
        <f t="shared" si="149"/>
        <v>61.685602481712685</v>
      </c>
      <c r="BK114" s="43">
        <f t="shared" ref="BK114:BK177" si="153">(180/PI())*IMARGUMENT(BI114)</f>
        <v>32.469963896209578</v>
      </c>
      <c r="BL114">
        <f t="shared" si="150"/>
        <v>51.688737732766945</v>
      </c>
      <c r="BM114" s="43">
        <f t="shared" si="151"/>
        <v>32.175142813663165</v>
      </c>
    </row>
    <row r="115" spans="14:65" x14ac:dyDescent="0.25">
      <c r="N115" s="9">
        <v>97</v>
      </c>
      <c r="O115" s="34">
        <f t="shared" si="116"/>
        <v>93.325430079699174</v>
      </c>
      <c r="P115" s="33" t="str">
        <f t="shared" si="103"/>
        <v>54,631621870174</v>
      </c>
      <c r="Q115" s="4" t="str">
        <f t="shared" si="104"/>
        <v>1+2,61754610931826i</v>
      </c>
      <c r="R115" s="4">
        <f t="shared" si="117"/>
        <v>2.8020613188164103</v>
      </c>
      <c r="S115" s="4">
        <f t="shared" si="118"/>
        <v>1.2058703707910292</v>
      </c>
      <c r="T115" s="4" t="str">
        <f t="shared" si="105"/>
        <v>1+0,00886608028247229i</v>
      </c>
      <c r="U115" s="4">
        <f t="shared" si="119"/>
        <v>1.0000393029174279</v>
      </c>
      <c r="V115" s="4">
        <f t="shared" si="120"/>
        <v>8.8658479803158871E-3</v>
      </c>
      <c r="W115" t="str">
        <f t="shared" si="106"/>
        <v>1-0,00233340857493244i</v>
      </c>
      <c r="X115" s="4">
        <f t="shared" si="121"/>
        <v>1.0000027223940831</v>
      </c>
      <c r="Y115" s="4">
        <f t="shared" si="122"/>
        <v>-2.3334043399687119E-3</v>
      </c>
      <c r="Z115" t="str">
        <f t="shared" si="107"/>
        <v>0,999999965161456+0,000320591465487705i</v>
      </c>
      <c r="AA115" s="4">
        <f t="shared" si="123"/>
        <v>1.0000000165509004</v>
      </c>
      <c r="AB115" s="4">
        <f t="shared" si="124"/>
        <v>3.2059146567330006E-4</v>
      </c>
      <c r="AC115" s="47" t="str">
        <f t="shared" si="125"/>
        <v>7,07136946194114-18,1702599898543i</v>
      </c>
      <c r="AD115" s="20">
        <f t="shared" si="126"/>
        <v>25.799694053761723</v>
      </c>
      <c r="AE115" s="43">
        <f t="shared" si="127"/>
        <v>-68.735369973633595</v>
      </c>
      <c r="AF115" t="str">
        <f t="shared" si="108"/>
        <v>171,265703090588</v>
      </c>
      <c r="AG115" t="str">
        <f t="shared" si="109"/>
        <v>1+2,59249614741144i</v>
      </c>
      <c r="AH115">
        <f t="shared" si="128"/>
        <v>2.7786752732809856</v>
      </c>
      <c r="AI115">
        <f t="shared" si="129"/>
        <v>1.2026530646518436</v>
      </c>
      <c r="AJ115" t="str">
        <f t="shared" si="110"/>
        <v>1+0,00886608028247229i</v>
      </c>
      <c r="AK115">
        <f t="shared" si="130"/>
        <v>1.0000393029174279</v>
      </c>
      <c r="AL115">
        <f t="shared" si="131"/>
        <v>8.8658479803158871E-3</v>
      </c>
      <c r="AM115" t="str">
        <f t="shared" si="111"/>
        <v>1-0,000737204377039873i</v>
      </c>
      <c r="AN115">
        <f t="shared" si="132"/>
        <v>1.0000002717351097</v>
      </c>
      <c r="AO115">
        <f t="shared" si="133"/>
        <v>-7.3720424349035688E-4</v>
      </c>
      <c r="AP115" s="41" t="str">
        <f t="shared" si="134"/>
        <v>22,6493029336913-57,3260329498694i</v>
      </c>
      <c r="AQ115">
        <f t="shared" si="135"/>
        <v>35.796995841842723</v>
      </c>
      <c r="AR115" s="43">
        <f t="shared" si="136"/>
        <v>-68.441207843739249</v>
      </c>
      <c r="AS115" t="str">
        <f t="shared" si="112"/>
        <v>-0,0000166666666666667</v>
      </c>
      <c r="AT115" t="str">
        <f t="shared" si="113"/>
        <v>8,98922028639551E-07i</v>
      </c>
      <c r="AU115">
        <f t="shared" si="137"/>
        <v>8.9892202863955101E-7</v>
      </c>
      <c r="AV115">
        <f t="shared" si="138"/>
        <v>1.5707963267948966</v>
      </c>
      <c r="AW115" t="str">
        <f t="shared" si="114"/>
        <v>1+0,00416548517604427i</v>
      </c>
      <c r="AX115">
        <f t="shared" si="139"/>
        <v>1.0000086755957429</v>
      </c>
      <c r="AY115">
        <f t="shared" si="140"/>
        <v>4.1654610841469382E-3</v>
      </c>
      <c r="AZ115" t="str">
        <f t="shared" si="115"/>
        <v>1+0,193505720450784i</v>
      </c>
      <c r="BA115">
        <f t="shared" si="141"/>
        <v>1.0185501773831158</v>
      </c>
      <c r="BB115">
        <f t="shared" si="142"/>
        <v>0.19114333324480579</v>
      </c>
      <c r="BC115" s="41" t="str">
        <f t="shared" si="143"/>
        <v>-3,51044443616096+18,5553483018855i</v>
      </c>
      <c r="BD115">
        <f t="shared" si="144"/>
        <v>25.522107748035921</v>
      </c>
      <c r="BE115" s="43">
        <f t="shared" si="145"/>
        <v>100.71304293714245</v>
      </c>
      <c r="BF115" s="41" t="str">
        <f t="shared" si="146"/>
        <v>312,331853263851+194,997411422617i</v>
      </c>
      <c r="BG115" s="20">
        <f t="shared" si="147"/>
        <v>51.321801801797648</v>
      </c>
      <c r="BH115" s="43">
        <f t="shared" si="148"/>
        <v>31.977672963508923</v>
      </c>
      <c r="BI115" s="41" t="str">
        <f t="shared" si="152"/>
        <v>984,195388683691+621,505558145608i</v>
      </c>
      <c r="BJ115" s="20">
        <f t="shared" si="149"/>
        <v>61.319103589878651</v>
      </c>
      <c r="BK115" s="43">
        <f t="shared" si="153"/>
        <v>32.271835093403205</v>
      </c>
      <c r="BL115">
        <f t="shared" si="150"/>
        <v>51.321801801797648</v>
      </c>
      <c r="BM115" s="43">
        <f t="shared" si="151"/>
        <v>31.977672963508923</v>
      </c>
    </row>
    <row r="116" spans="14:65" x14ac:dyDescent="0.25">
      <c r="N116" s="9">
        <v>98</v>
      </c>
      <c r="O116" s="34">
        <f t="shared" si="116"/>
        <v>95.499258602143655</v>
      </c>
      <c r="P116" s="33" t="str">
        <f t="shared" si="103"/>
        <v>54,631621870174</v>
      </c>
      <c r="Q116" s="4" t="str">
        <f t="shared" si="104"/>
        <v>1+2,67851659063712i</v>
      </c>
      <c r="R116" s="4">
        <f t="shared" si="117"/>
        <v>2.859099705557381</v>
      </c>
      <c r="S116" s="4">
        <f t="shared" si="118"/>
        <v>1.2134809354527309</v>
      </c>
      <c r="T116" s="4" t="str">
        <f t="shared" si="105"/>
        <v>1+0,00907259782205246i</v>
      </c>
      <c r="U116" s="4">
        <f t="shared" si="119"/>
        <v>1.0000411551687465</v>
      </c>
      <c r="V116" s="4">
        <f t="shared" si="120"/>
        <v>9.0723489063604772E-3</v>
      </c>
      <c r="W116" t="str">
        <f t="shared" si="106"/>
        <v>1-0,00238776064285619i</v>
      </c>
      <c r="X116" s="4">
        <f t="shared" si="121"/>
        <v>1.0000028506963805</v>
      </c>
      <c r="Y116" s="4">
        <f t="shared" si="122"/>
        <v>-2.3877561050114973E-3</v>
      </c>
      <c r="Z116" t="str">
        <f t="shared" si="107"/>
        <v>0,999999963519566+0,000328059000018586i</v>
      </c>
      <c r="AA116" s="4">
        <f t="shared" si="123"/>
        <v>1.0000000173309203</v>
      </c>
      <c r="AB116" s="4">
        <f t="shared" si="124"/>
        <v>3.2805900021745465E-4</v>
      </c>
      <c r="AC116" s="47" t="str">
        <f t="shared" si="125"/>
        <v>6,7971680928016-17,8590468177374i</v>
      </c>
      <c r="AD116" s="20">
        <f t="shared" si="126"/>
        <v>25.624677931663143</v>
      </c>
      <c r="AE116" s="43">
        <f t="shared" si="127"/>
        <v>-69.163133561891456</v>
      </c>
      <c r="AF116" t="str">
        <f t="shared" si="108"/>
        <v>171,265703090588</v>
      </c>
      <c r="AG116" t="str">
        <f t="shared" si="109"/>
        <v>1+2,65288314016098i</v>
      </c>
      <c r="AH116">
        <f t="shared" si="128"/>
        <v>2.8350994612800413</v>
      </c>
      <c r="AI116">
        <f t="shared" si="129"/>
        <v>1.2103185835695411</v>
      </c>
      <c r="AJ116" t="str">
        <f t="shared" si="110"/>
        <v>1+0,00907259782205246i</v>
      </c>
      <c r="AK116">
        <f t="shared" si="130"/>
        <v>1.0000411551687465</v>
      </c>
      <c r="AL116">
        <f t="shared" si="131"/>
        <v>9.0723489063604772E-3</v>
      </c>
      <c r="AM116" t="str">
        <f t="shared" si="111"/>
        <v>1-0,000754376072903601i</v>
      </c>
      <c r="AN116">
        <f t="shared" si="132"/>
        <v>1.0000002845415892</v>
      </c>
      <c r="AO116">
        <f t="shared" si="133"/>
        <v>-7.5437592980271838E-4</v>
      </c>
      <c r="AP116" s="41" t="str">
        <f t="shared" si="134"/>
        <v>21,7779096693429-56,3496232934173i</v>
      </c>
      <c r="AQ116">
        <f t="shared" si="135"/>
        <v>35.622401979856711</v>
      </c>
      <c r="AR116" s="43">
        <f t="shared" si="136"/>
        <v>-68.869561959125946</v>
      </c>
      <c r="AS116" t="str">
        <f t="shared" si="112"/>
        <v>-0,0000166666666666667</v>
      </c>
      <c r="AT116" t="str">
        <f t="shared" si="113"/>
        <v>9,19860612513652E-07i</v>
      </c>
      <c r="AU116">
        <f t="shared" si="137"/>
        <v>9.1986061251365203E-7</v>
      </c>
      <c r="AV116">
        <f t="shared" si="138"/>
        <v>1.5707963267948966</v>
      </c>
      <c r="AW116" t="str">
        <f t="shared" si="114"/>
        <v>1+0,00426251179009547i</v>
      </c>
      <c r="AX116">
        <f t="shared" si="139"/>
        <v>1.0000090844621166</v>
      </c>
      <c r="AY116">
        <f t="shared" si="140"/>
        <v>4.2624859751750448E-3</v>
      </c>
      <c r="AZ116" t="str">
        <f t="shared" si="115"/>
        <v>1+0,198013047703526i</v>
      </c>
      <c r="BA116">
        <f t="shared" si="141"/>
        <v>1.0194160912310728</v>
      </c>
      <c r="BB116">
        <f t="shared" si="142"/>
        <v>0.19548430081796611</v>
      </c>
      <c r="BC116" s="41" t="str">
        <f t="shared" si="143"/>
        <v>-3,51044156558226+18,1336504560895i</v>
      </c>
      <c r="BD116">
        <f t="shared" si="144"/>
        <v>25.329485312557672</v>
      </c>
      <c r="BE116" s="43">
        <f t="shared" si="145"/>
        <v>100.95620294132401</v>
      </c>
      <c r="BF116" s="41" t="str">
        <f t="shared" si="146"/>
        <v>299,988651070567+185,950610556814i</v>
      </c>
      <c r="BG116" s="20">
        <f t="shared" si="147"/>
        <v>50.954163244220815</v>
      </c>
      <c r="BH116" s="43">
        <f t="shared" si="148"/>
        <v>31.793069379432627</v>
      </c>
      <c r="BI116" s="41" t="str">
        <f t="shared" si="152"/>
        <v>945,374292820391+592,72506142227i</v>
      </c>
      <c r="BJ116" s="20">
        <f t="shared" si="149"/>
        <v>60.951887292414384</v>
      </c>
      <c r="BK116" s="43">
        <f t="shared" si="153"/>
        <v>32.086640982198062</v>
      </c>
      <c r="BL116">
        <f t="shared" si="150"/>
        <v>50.954163244220815</v>
      </c>
      <c r="BM116" s="43">
        <f t="shared" si="151"/>
        <v>31.793069379432627</v>
      </c>
    </row>
    <row r="117" spans="14:65" x14ac:dyDescent="0.25">
      <c r="N117" s="9">
        <v>99</v>
      </c>
      <c r="O117" s="34">
        <f t="shared" si="116"/>
        <v>97.723722095581124</v>
      </c>
      <c r="P117" s="33" t="str">
        <f t="shared" si="103"/>
        <v>54,631621870174</v>
      </c>
      <c r="Q117" s="4" t="str">
        <f t="shared" si="104"/>
        <v>1+2,7409072569067i</v>
      </c>
      <c r="R117" s="4">
        <f t="shared" si="117"/>
        <v>2.9176313322563234</v>
      </c>
      <c r="S117" s="4">
        <f t="shared" si="118"/>
        <v>1.2209602871902758</v>
      </c>
      <c r="T117" s="4" t="str">
        <f t="shared" si="105"/>
        <v>1+0,00928392577308791i</v>
      </c>
      <c r="U117" s="4">
        <f t="shared" si="119"/>
        <v>1.0000430947103029</v>
      </c>
      <c r="V117" s="4">
        <f t="shared" si="120"/>
        <v>9.2836590557393277E-3</v>
      </c>
      <c r="W117" t="str">
        <f t="shared" si="106"/>
        <v>1-0,00244337873307852i</v>
      </c>
      <c r="X117" s="4">
        <f t="shared" si="121"/>
        <v>1.0000029850453613</v>
      </c>
      <c r="Y117" s="4">
        <f t="shared" si="122"/>
        <v>-2.4433738706911112E-3</v>
      </c>
      <c r="Z117" t="str">
        <f t="shared" si="107"/>
        <v>0,999999961800297+0,00033570047577365i</v>
      </c>
      <c r="AA117" s="4">
        <f t="shared" si="123"/>
        <v>1.0000000181477022</v>
      </c>
      <c r="AB117" s="4">
        <f t="shared" si="124"/>
        <v>3.3570047598674132E-4</v>
      </c>
      <c r="AC117" s="47" t="str">
        <f t="shared" si="125"/>
        <v>6,53233999484139-17,5491682218198i</v>
      </c>
      <c r="AD117" s="20">
        <f t="shared" si="126"/>
        <v>25.448673669608617</v>
      </c>
      <c r="AE117" s="43">
        <f t="shared" si="127"/>
        <v>-69.58318615776912</v>
      </c>
      <c r="AF117" t="str">
        <f t="shared" si="108"/>
        <v>171,265703090588</v>
      </c>
      <c r="AG117" t="str">
        <f t="shared" si="109"/>
        <v>1+2,71467672666649i</v>
      </c>
      <c r="AH117">
        <f t="shared" si="128"/>
        <v>2.8930035828364766</v>
      </c>
      <c r="AI117">
        <f t="shared" si="129"/>
        <v>1.2178526637892941</v>
      </c>
      <c r="AJ117" t="str">
        <f t="shared" si="110"/>
        <v>1+0,00928392577308791i</v>
      </c>
      <c r="AK117">
        <f t="shared" si="130"/>
        <v>1.0000430947103029</v>
      </c>
      <c r="AL117">
        <f t="shared" si="131"/>
        <v>9.2836590557393277E-3</v>
      </c>
      <c r="AM117" t="str">
        <f t="shared" si="111"/>
        <v>1-0,000771947748946529i</v>
      </c>
      <c r="AN117">
        <f t="shared" si="132"/>
        <v>1.0000002979516192</v>
      </c>
      <c r="AO117">
        <f t="shared" si="133"/>
        <v>-7.7194759561117316E-4</v>
      </c>
      <c r="AP117" s="41" t="str">
        <f t="shared" si="134"/>
        <v>20,9361427614867-55,3770495997788i</v>
      </c>
      <c r="AQ117">
        <f t="shared" si="135"/>
        <v>35.446805501560796</v>
      </c>
      <c r="AR117" s="43">
        <f t="shared" si="136"/>
        <v>-69.29013256079287</v>
      </c>
      <c r="AS117" t="str">
        <f t="shared" si="112"/>
        <v>-0,0000166666666666667</v>
      </c>
      <c r="AT117" t="str">
        <f t="shared" si="113"/>
        <v>9,41286918660302E-07i</v>
      </c>
      <c r="AU117">
        <f t="shared" si="137"/>
        <v>9.4128691866030196E-7</v>
      </c>
      <c r="AV117">
        <f t="shared" si="138"/>
        <v>1.5707963267948966</v>
      </c>
      <c r="AW117" t="str">
        <f t="shared" si="114"/>
        <v>1+0,00436179844431878i</v>
      </c>
      <c r="AX117">
        <f t="shared" si="139"/>
        <v>1.0000095125975896</v>
      </c>
      <c r="AY117">
        <f t="shared" si="140"/>
        <v>4.3617707831473916E-3</v>
      </c>
      <c r="AZ117" t="str">
        <f t="shared" si="115"/>
        <v>1+0,202625364095173i</v>
      </c>
      <c r="BA117">
        <f t="shared" si="141"/>
        <v>1.0203220267026982</v>
      </c>
      <c r="BB117">
        <f t="shared" si="142"/>
        <v>0.19991866918444456</v>
      </c>
      <c r="BC117" s="41" t="str">
        <f t="shared" si="143"/>
        <v>-3,51043855972237+17,7215673106389i</v>
      </c>
      <c r="BD117">
        <f t="shared" si="144"/>
        <v>25.137197149076304</v>
      </c>
      <c r="BE117" s="43">
        <f t="shared" si="145"/>
        <v>101.2045849330629</v>
      </c>
      <c r="BF117" s="41" t="str">
        <f t="shared" si="146"/>
        <v>288,067387685597+177,368579731491i</v>
      </c>
      <c r="BG117" s="20">
        <f t="shared" si="147"/>
        <v>50.585870818684917</v>
      </c>
      <c r="BH117" s="43">
        <f t="shared" si="148"/>
        <v>31.621398775293788</v>
      </c>
      <c r="BI117" s="41" t="str">
        <f t="shared" si="152"/>
        <v>907,873069105294+565,418993411554i</v>
      </c>
      <c r="BJ117" s="20">
        <f t="shared" si="149"/>
        <v>60.584002650637103</v>
      </c>
      <c r="BK117" s="43">
        <f t="shared" si="153"/>
        <v>31.914452372270034</v>
      </c>
      <c r="BL117">
        <f t="shared" si="150"/>
        <v>50.585870818684917</v>
      </c>
      <c r="BM117" s="43">
        <f t="shared" si="151"/>
        <v>31.621398775293788</v>
      </c>
    </row>
    <row r="118" spans="14:65" x14ac:dyDescent="0.25">
      <c r="N118" s="9">
        <v>100</v>
      </c>
      <c r="O118" s="34">
        <f t="shared" si="116"/>
        <v>100</v>
      </c>
      <c r="P118" s="33" t="str">
        <f t="shared" si="103"/>
        <v>54,631621870174</v>
      </c>
      <c r="Q118" s="4" t="str">
        <f t="shared" si="104"/>
        <v>1+2,8047511884841i</v>
      </c>
      <c r="R118" s="4">
        <f t="shared" si="117"/>
        <v>2.9776885715774526</v>
      </c>
      <c r="S118" s="4">
        <f t="shared" si="118"/>
        <v>1.2283090434672683</v>
      </c>
      <c r="T118" s="4" t="str">
        <f t="shared" si="105"/>
        <v>1+0,00950017618445555i</v>
      </c>
      <c r="U118" s="4">
        <f t="shared" si="119"/>
        <v>1.0000451256556055</v>
      </c>
      <c r="V118" s="4">
        <f t="shared" si="120"/>
        <v>9.4998903923639976E-3</v>
      </c>
      <c r="W118" t="str">
        <f t="shared" si="106"/>
        <v>1-0,00250029233504708i</v>
      </c>
      <c r="X118" s="4">
        <f t="shared" si="121"/>
        <v>1.0000031257259954</v>
      </c>
      <c r="Y118" s="4">
        <f t="shared" si="122"/>
        <v>-2.5002871249059813E-3</v>
      </c>
      <c r="Z118" t="str">
        <f t="shared" si="107"/>
        <v>0,99999996+0,000343519944364491i</v>
      </c>
      <c r="AA118" s="4">
        <f t="shared" si="123"/>
        <v>1.0000000190029767</v>
      </c>
      <c r="AB118" s="4">
        <f t="shared" si="124"/>
        <v>3.4351994459282261E-4</v>
      </c>
      <c r="AC118" s="47" t="str">
        <f t="shared" si="125"/>
        <v>6,27667921119914-17,2408759963488i</v>
      </c>
      <c r="AD118" s="20">
        <f t="shared" si="126"/>
        <v>25.271715325692739</v>
      </c>
      <c r="AE118" s="43">
        <f t="shared" si="127"/>
        <v>-69.995558645938033</v>
      </c>
      <c r="AF118" t="str">
        <f t="shared" si="108"/>
        <v>171,265703090588</v>
      </c>
      <c r="AG118" t="str">
        <f t="shared" si="109"/>
        <v>1+2,77790967070547i</v>
      </c>
      <c r="AH118">
        <f t="shared" si="128"/>
        <v>2.9524197090859174</v>
      </c>
      <c r="AI118">
        <f t="shared" si="129"/>
        <v>1.2252558777685663</v>
      </c>
      <c r="AJ118" t="str">
        <f t="shared" si="110"/>
        <v>1+0,00950017618445555i</v>
      </c>
      <c r="AK118">
        <f t="shared" si="130"/>
        <v>1.0000451256556055</v>
      </c>
      <c r="AL118">
        <f t="shared" si="131"/>
        <v>9.4998903923639976E-3</v>
      </c>
      <c r="AM118" t="str">
        <f t="shared" si="111"/>
        <v>1-0,000789928721903887i</v>
      </c>
      <c r="AN118">
        <f t="shared" si="132"/>
        <v>1.0000003119936443</v>
      </c>
      <c r="AO118">
        <f t="shared" si="133"/>
        <v>-7.8992855760209586E-4</v>
      </c>
      <c r="AP118" s="41" t="str">
        <f t="shared" si="134"/>
        <v>20,1233641701682-54,4091212796713i</v>
      </c>
      <c r="AQ118">
        <f t="shared" si="135"/>
        <v>35.270240776746</v>
      </c>
      <c r="AR118" s="43">
        <f t="shared" si="136"/>
        <v>-69.702946566884052</v>
      </c>
      <c r="AS118" t="str">
        <f t="shared" si="112"/>
        <v>-0,0000166666666666667</v>
      </c>
      <c r="AT118" t="str">
        <f t="shared" si="113"/>
        <v>9,63212307590631E-07i</v>
      </c>
      <c r="AU118">
        <f t="shared" si="137"/>
        <v>9.63212307590631E-7</v>
      </c>
      <c r="AV118">
        <f t="shared" si="138"/>
        <v>1.5707963267948966</v>
      </c>
      <c r="AW118" t="str">
        <f t="shared" si="114"/>
        <v>1+0,00446339778181251i</v>
      </c>
      <c r="AX118">
        <f t="shared" si="139"/>
        <v>1.0000099609102695</v>
      </c>
      <c r="AY118">
        <f t="shared" si="140"/>
        <v>4.4633681423493074E-3</v>
      </c>
      <c r="AZ118" t="str">
        <f t="shared" si="115"/>
        <v>1+0,207345115136926i</v>
      </c>
      <c r="BA118">
        <f t="shared" si="141"/>
        <v>1.0212697962689121</v>
      </c>
      <c r="BB118">
        <f t="shared" si="142"/>
        <v>0.20444809160695532</v>
      </c>
      <c r="BC118" s="41" t="str">
        <f t="shared" si="143"/>
        <v>-3,51043541220617+17,3188803735129i</v>
      </c>
      <c r="BD118">
        <f t="shared" si="144"/>
        <v>24.945257768655903</v>
      </c>
      <c r="BE118" s="43">
        <f t="shared" si="145"/>
        <v>101.45828062161273</v>
      </c>
      <c r="BF118" s="41" t="str">
        <f t="shared" si="146"/>
        <v>276,558791941283+169,228038036711i</v>
      </c>
      <c r="BG118" s="20">
        <f t="shared" si="147"/>
        <v>50.216973094348639</v>
      </c>
      <c r="BH118" s="43">
        <f t="shared" si="148"/>
        <v>31.462721975674668</v>
      </c>
      <c r="BI118" s="41" t="str">
        <f t="shared" si="152"/>
        <v>871,663292474903+539,513842862957i</v>
      </c>
      <c r="BJ118" s="20">
        <f t="shared" si="149"/>
        <v>60.2154985454019</v>
      </c>
      <c r="BK118" s="43">
        <f t="shared" si="153"/>
        <v>31.755334054728682</v>
      </c>
      <c r="BL118">
        <f t="shared" si="150"/>
        <v>50.216973094348639</v>
      </c>
      <c r="BM118" s="43">
        <f t="shared" si="151"/>
        <v>31.462721975674668</v>
      </c>
    </row>
    <row r="119" spans="14:65" x14ac:dyDescent="0.25">
      <c r="N119" s="9">
        <v>1</v>
      </c>
      <c r="O119" s="34">
        <f>10^(2+(N119/100))</f>
        <v>102.32929922807544</v>
      </c>
      <c r="P119" s="33" t="str">
        <f t="shared" si="103"/>
        <v>54,631621870174</v>
      </c>
      <c r="Q119" s="4" t="str">
        <f t="shared" si="104"/>
        <v>1+2,87008223626689i</v>
      </c>
      <c r="R119" s="4">
        <f t="shared" si="117"/>
        <v>3.0393045327730408</v>
      </c>
      <c r="S119" s="4">
        <f t="shared" si="118"/>
        <v>1.2355279248146607</v>
      </c>
      <c r="T119" s="4" t="str">
        <f t="shared" si="105"/>
        <v>1+0,00972146371498587i</v>
      </c>
      <c r="U119" s="4">
        <f t="shared" si="119"/>
        <v>1.0000472523119903</v>
      </c>
      <c r="V119" s="4">
        <f t="shared" si="120"/>
        <v>9.7211574840239626E-3</v>
      </c>
      <c r="W119" t="str">
        <f t="shared" si="106"/>
        <v>1-0,00255853162510696i</v>
      </c>
      <c r="X119" s="4">
        <f t="shared" si="121"/>
        <v>1.0000032730366819</v>
      </c>
      <c r="Y119" s="4">
        <f t="shared" si="122"/>
        <v>-2.5585260423411768E-3</v>
      </c>
      <c r="Z119" t="str">
        <f t="shared" si="107"/>
        <v>0,999999958114858+0,000351521551776859i</v>
      </c>
      <c r="AA119" s="4">
        <f t="shared" si="123"/>
        <v>1.0000000198985592</v>
      </c>
      <c r="AB119" s="4">
        <f t="shared" si="124"/>
        <v>3.5152155202152076E-4</v>
      </c>
      <c r="AC119" s="47" t="str">
        <f t="shared" si="125"/>
        <v>6,02997503021061-16,9344063232796i</v>
      </c>
      <c r="AD119" s="20">
        <f t="shared" si="126"/>
        <v>25.093836195011345</v>
      </c>
      <c r="AE119" s="43">
        <f t="shared" si="127"/>
        <v>-70.40028771195945</v>
      </c>
      <c r="AF119" t="str">
        <f t="shared" si="108"/>
        <v>171,265703090588</v>
      </c>
      <c r="AG119" t="str">
        <f t="shared" si="109"/>
        <v>1+2,84261549922185i</v>
      </c>
      <c r="AH119">
        <f t="shared" si="128"/>
        <v>3.0133806391520284</v>
      </c>
      <c r="AI119">
        <f t="shared" si="129"/>
        <v>1.2325289037968747</v>
      </c>
      <c r="AJ119" t="str">
        <f t="shared" si="110"/>
        <v>1+0,00972146371498587i</v>
      </c>
      <c r="AK119">
        <f t="shared" si="130"/>
        <v>1.0000472523119903</v>
      </c>
      <c r="AL119">
        <f t="shared" si="131"/>
        <v>9.7211574840239626E-3</v>
      </c>
      <c r="AM119" t="str">
        <f t="shared" si="111"/>
        <v>1-0,00080832852552554i</v>
      </c>
      <c r="AN119">
        <f t="shared" si="132"/>
        <v>1.0000003266974493</v>
      </c>
      <c r="AO119">
        <f t="shared" si="133"/>
        <v>-8.0832834947300205E-4</v>
      </c>
      <c r="AP119" s="41" t="str">
        <f t="shared" si="134"/>
        <v>19,3389196898283-53,4465984835481i</v>
      </c>
      <c r="AQ119">
        <f t="shared" si="135"/>
        <v>35.092741419696772</v>
      </c>
      <c r="AR119" s="43">
        <f t="shared" si="136"/>
        <v>-70.108036822515757</v>
      </c>
      <c r="AS119" t="str">
        <f t="shared" si="112"/>
        <v>-0,0000166666666666667</v>
      </c>
      <c r="AT119" t="str">
        <f t="shared" si="113"/>
        <v>9,85648404436067E-07i</v>
      </c>
      <c r="AU119">
        <f t="shared" si="137"/>
        <v>9.8564840443606693E-7</v>
      </c>
      <c r="AV119">
        <f t="shared" si="138"/>
        <v>1.5707963267948966</v>
      </c>
      <c r="AW119" t="str">
        <f t="shared" si="114"/>
        <v>1+0,0045673636718902i</v>
      </c>
      <c r="AX119">
        <f t="shared" si="139"/>
        <v>1.0000104303510595</v>
      </c>
      <c r="AY119">
        <f t="shared" si="140"/>
        <v>4.5673319126510728E-3</v>
      </c>
      <c r="AZ119" t="str">
        <f t="shared" si="115"/>
        <v>1+0,212174803303263i</v>
      </c>
      <c r="BA119">
        <f t="shared" si="141"/>
        <v>1.022261291039027</v>
      </c>
      <c r="BB119">
        <f t="shared" si="142"/>
        <v>0.20907422590146668</v>
      </c>
      <c r="BC119" s="41" t="str">
        <f t="shared" si="143"/>
        <v>-3,51043211635819+16,9253761346789i</v>
      </c>
      <c r="BD119">
        <f t="shared" si="144"/>
        <v>24.753682253765529</v>
      </c>
      <c r="BE119" s="43">
        <f t="shared" si="145"/>
        <v>101.71738190688845</v>
      </c>
      <c r="BF119" s="41" t="str">
        <f t="shared" si="146"/>
        <v>265,453378632103+161,506679297736i</v>
      </c>
      <c r="BG119" s="20">
        <f t="shared" si="147"/>
        <v>49.847518448776881</v>
      </c>
      <c r="BH119" s="43">
        <f t="shared" si="148"/>
        <v>31.317094194928927</v>
      </c>
      <c r="BI119" s="41" t="str">
        <f t="shared" si="152"/>
        <v>836,715817678365+514,93914561544i</v>
      </c>
      <c r="BJ119" s="20">
        <f t="shared" si="149"/>
        <v>59.846423673462297</v>
      </c>
      <c r="BK119" s="43">
        <f t="shared" si="153"/>
        <v>31.609345084372702</v>
      </c>
      <c r="BL119">
        <f t="shared" si="150"/>
        <v>49.847518448776881</v>
      </c>
      <c r="BM119" s="43">
        <f t="shared" si="151"/>
        <v>31.317094194928927</v>
      </c>
    </row>
    <row r="120" spans="14:65" x14ac:dyDescent="0.25">
      <c r="N120" s="9">
        <v>2</v>
      </c>
      <c r="O120" s="34">
        <f t="shared" ref="O120:O183" si="154">10^(2+(N120/100))</f>
        <v>104.71285480508998</v>
      </c>
      <c r="P120" s="33" t="str">
        <f t="shared" si="103"/>
        <v>54,631621870174</v>
      </c>
      <c r="Q120" s="4" t="str">
        <f t="shared" si="104"/>
        <v>1+2,93693503964139i</v>
      </c>
      <c r="R120" s="4">
        <f t="shared" si="117"/>
        <v>3.1025130824983429</v>
      </c>
      <c r="S120" s="4">
        <f t="shared" si="118"/>
        <v>1.2426177482975114</v>
      </c>
      <c r="T120" s="4" t="str">
        <f t="shared" si="105"/>
        <v>1+0,00994790569425667i</v>
      </c>
      <c r="U120" s="4">
        <f t="shared" si="119"/>
        <v>1.0000494791897558</v>
      </c>
      <c r="V120" s="4">
        <f t="shared" si="120"/>
        <v>9.9475775627459479E-3</v>
      </c>
      <c r="W120" t="str">
        <f t="shared" si="106"/>
        <v>1-0,00261812748250064i</v>
      </c>
      <c r="X120" s="4">
        <f t="shared" si="121"/>
        <v>1.0000034272898841</v>
      </c>
      <c r="Y120" s="4">
        <f t="shared" si="122"/>
        <v>-2.6181215004604341E-3</v>
      </c>
      <c r="Z120" t="str">
        <f t="shared" si="107"/>
        <v>0,999999956140872+0,000359709540568916i</v>
      </c>
      <c r="AA120" s="4">
        <f t="shared" si="123"/>
        <v>1.0000000208363495</v>
      </c>
      <c r="AB120" s="4">
        <f t="shared" si="124"/>
        <v>3.5970954083107583E-4</v>
      </c>
      <c r="AC120" s="47" t="str">
        <f t="shared" si="125"/>
        <v>5,79201291746855-16,6299800765682i</v>
      </c>
      <c r="AD120" s="20">
        <f t="shared" si="126"/>
        <v>24.915068794024783</v>
      </c>
      <c r="AE120" s="43">
        <f t="shared" si="127"/>
        <v>-70.797415465541732</v>
      </c>
      <c r="AF120" t="str">
        <f t="shared" si="108"/>
        <v>171,265703090588</v>
      </c>
      <c r="AG120" t="str">
        <f t="shared" si="109"/>
        <v>1+2,90882852010238i</v>
      </c>
      <c r="AH120">
        <f t="shared" si="128"/>
        <v>3.0759199208303527</v>
      </c>
      <c r="AI120">
        <f t="shared" si="129"/>
        <v>1.2396725194105591</v>
      </c>
      <c r="AJ120" t="str">
        <f t="shared" si="110"/>
        <v>1+0,00994790569425667i</v>
      </c>
      <c r="AK120">
        <f t="shared" si="130"/>
        <v>1.0000494791897558</v>
      </c>
      <c r="AL120">
        <f t="shared" si="131"/>
        <v>9.9475775627459479E-3</v>
      </c>
      <c r="AM120" t="str">
        <f t="shared" si="111"/>
        <v>1-0,00082715691563092i</v>
      </c>
      <c r="AN120">
        <f t="shared" si="132"/>
        <v>1.0000003420942229</v>
      </c>
      <c r="AO120">
        <f t="shared" si="133"/>
        <v>-8.271567269872303E-4</v>
      </c>
      <c r="AP120" s="41" t="str">
        <f t="shared" si="134"/>
        <v>18,5821419420571-52,4901929933625i</v>
      </c>
      <c r="AQ120">
        <f t="shared" si="135"/>
        <v>34.914340272103196</v>
      </c>
      <c r="AR120" s="43">
        <f t="shared" si="136"/>
        <v>-70.505441719302553</v>
      </c>
      <c r="AS120" t="str">
        <f t="shared" si="112"/>
        <v>-0,0000166666666666667</v>
      </c>
      <c r="AT120" t="str">
        <f t="shared" si="113"/>
        <v>1,00860710511213E-06i</v>
      </c>
      <c r="AU120">
        <f t="shared" si="137"/>
        <v>1.00860710511213E-6</v>
      </c>
      <c r="AV120">
        <f t="shared" si="138"/>
        <v>1.5707963267948966</v>
      </c>
      <c r="AW120" t="str">
        <f t="shared" si="114"/>
        <v>1+0,00467375123864293i</v>
      </c>
      <c r="AX120">
        <f t="shared" si="139"/>
        <v>1.0000109219156763</v>
      </c>
      <c r="AY120">
        <f t="shared" si="140"/>
        <v>4.6737172080251596E-3</v>
      </c>
      <c r="AZ120" t="str">
        <f t="shared" si="115"/>
        <v>1+0,217116989358776i</v>
      </c>
      <c r="BA120">
        <f t="shared" si="141"/>
        <v>1.0232984838590444</v>
      </c>
      <c r="BB120">
        <f t="shared" si="142"/>
        <v>0.21379873249982287</v>
      </c>
      <c r="BC120" s="41" t="str">
        <f t="shared" si="143"/>
        <v>-3,51042866518831+16,5408459528862i</v>
      </c>
      <c r="BD120">
        <f t="shared" si="144"/>
        <v>24.562486275391805</v>
      </c>
      <c r="BE120" s="43">
        <f t="shared" si="145"/>
        <v>101.9819807668288</v>
      </c>
      <c r="BF120" s="41" t="str">
        <f t="shared" si="146"/>
        <v>254,741490471459+154,18315218727i</v>
      </c>
      <c r="BG120" s="20">
        <f t="shared" si="147"/>
        <v>49.477555069416603</v>
      </c>
      <c r="BH120" s="43">
        <f t="shared" si="148"/>
        <v>31.184565301287087</v>
      </c>
      <c r="BI120" s="41" t="str">
        <f t="shared" si="152"/>
        <v>803,000912606481+491,627425463398i</v>
      </c>
      <c r="BJ120" s="20">
        <f t="shared" si="149"/>
        <v>59.476826547495001</v>
      </c>
      <c r="BK120" s="43">
        <f t="shared" si="153"/>
        <v>31.47653904752622</v>
      </c>
      <c r="BL120">
        <f t="shared" si="150"/>
        <v>49.477555069416603</v>
      </c>
      <c r="BM120" s="43">
        <f t="shared" si="151"/>
        <v>31.184565301287087</v>
      </c>
    </row>
    <row r="121" spans="14:65" x14ac:dyDescent="0.25">
      <c r="N121" s="9">
        <v>3</v>
      </c>
      <c r="O121" s="34">
        <f t="shared" si="154"/>
        <v>107.15193052376065</v>
      </c>
      <c r="P121" s="33" t="str">
        <f t="shared" si="103"/>
        <v>54,631621870174</v>
      </c>
      <c r="Q121" s="4" t="str">
        <f t="shared" si="104"/>
        <v>1+3,00534504484883i</v>
      </c>
      <c r="R121" s="4">
        <f t="shared" si="117"/>
        <v>3.1673488659441063</v>
      </c>
      <c r="S121" s="4">
        <f t="shared" si="118"/>
        <v>1.2495794211194939</v>
      </c>
      <c r="T121" s="4" t="str">
        <f t="shared" si="105"/>
        <v>1+0,0101796221848027i</v>
      </c>
      <c r="U121" s="4">
        <f t="shared" si="119"/>
        <v>1.0000518110117222</v>
      </c>
      <c r="V121" s="4">
        <f t="shared" si="120"/>
        <v>1.017927058653811E-2</v>
      </c>
      <c r="W121" t="str">
        <f t="shared" si="106"/>
        <v>1-0,00267911150574056i</v>
      </c>
      <c r="X121" s="4">
        <f t="shared" si="121"/>
        <v>1.0000035888127903</v>
      </c>
      <c r="Y121" s="4">
        <f t="shared" si="122"/>
        <v>-2.6791050958702373E-3</v>
      </c>
      <c r="Z121" t="str">
        <f t="shared" si="107"/>
        <v>0,999999954073855+0,000368088252120701i</v>
      </c>
      <c r="AA121" s="4">
        <f t="shared" si="123"/>
        <v>1.0000000218183365</v>
      </c>
      <c r="AB121" s="4">
        <f t="shared" si="124"/>
        <v>3.6808825240161028E-4</v>
      </c>
      <c r="AC121" s="47" t="str">
        <f t="shared" si="125"/>
        <v>5,5625753916447-16,3278031690792i</v>
      </c>
      <c r="AD121" s="20">
        <f t="shared" si="126"/>
        <v>24.735444848243393</v>
      </c>
      <c r="AE121" s="43">
        <f t="shared" si="127"/>
        <v>-71.186989071633604</v>
      </c>
      <c r="AF121" t="str">
        <f t="shared" si="108"/>
        <v>171,265703090588</v>
      </c>
      <c r="AG121" t="str">
        <f t="shared" si="109"/>
        <v>1+2,97658384036716i</v>
      </c>
      <c r="AH121">
        <f t="shared" si="128"/>
        <v>3.140071871587482</v>
      </c>
      <c r="AI121">
        <f t="shared" si="129"/>
        <v>1.2466875949375897</v>
      </c>
      <c r="AJ121" t="str">
        <f t="shared" si="110"/>
        <v>1+0,0101796221848027i</v>
      </c>
      <c r="AK121">
        <f t="shared" si="130"/>
        <v>1.0000518110117222</v>
      </c>
      <c r="AL121">
        <f t="shared" si="131"/>
        <v>1.017927058653811E-2</v>
      </c>
      <c r="AM121" t="str">
        <f t="shared" si="111"/>
        <v>1-0,000846423875281683i</v>
      </c>
      <c r="AN121">
        <f t="shared" si="132"/>
        <v>1.0000003582166241</v>
      </c>
      <c r="AO121">
        <f t="shared" si="133"/>
        <v>-8.4642367314633155E-4</v>
      </c>
      <c r="AP121" s="41" t="str">
        <f t="shared" si="134"/>
        <v>17,8523531928539-51,5405692558119i</v>
      </c>
      <c r="AQ121">
        <f t="shared" si="135"/>
        <v>34.73506938938084</v>
      </c>
      <c r="AR121" s="43">
        <f t="shared" si="136"/>
        <v>-70.895204822259956</v>
      </c>
      <c r="AS121" t="str">
        <f t="shared" si="112"/>
        <v>-0,0000166666666666667</v>
      </c>
      <c r="AT121" t="str">
        <f t="shared" si="113"/>
        <v>1,03210058262582E-06i</v>
      </c>
      <c r="AU121">
        <f t="shared" si="137"/>
        <v>1.0321005826258199E-6</v>
      </c>
      <c r="AV121">
        <f t="shared" si="138"/>
        <v>1.5707963267948966</v>
      </c>
      <c r="AW121" t="str">
        <f t="shared" si="114"/>
        <v>1+0,00478261689016681i</v>
      </c>
      <c r="AX121">
        <f t="shared" si="139"/>
        <v>1.0000114366467607</v>
      </c>
      <c r="AY121">
        <f t="shared" si="140"/>
        <v>4.7825804257254217E-3</v>
      </c>
      <c r="AZ121" t="str">
        <f t="shared" si="115"/>
        <v>1+0,222174293715931i</v>
      </c>
      <c r="BA121">
        <f t="shared" si="141"/>
        <v>1.024383432503754</v>
      </c>
      <c r="BB121">
        <f t="shared" si="142"/>
        <v>0.21862327236323578</v>
      </c>
      <c r="BC121" s="41" t="str">
        <f t="shared" si="143"/>
        <v>-3,51042505137707+16,1650859450409i</v>
      </c>
      <c r="BD121">
        <f t="shared" si="144"/>
        <v>24.371686110152069</v>
      </c>
      <c r="BE121" s="43">
        <f t="shared" si="145"/>
        <v>102.25216913617656</v>
      </c>
      <c r="BF121" s="41" t="str">
        <f t="shared" si="146"/>
        <v>244,413337516873+147,237038560396i</v>
      </c>
      <c r="BG121" s="20">
        <f t="shared" si="147"/>
        <v>49.107130958395466</v>
      </c>
      <c r="BH121" s="43">
        <f t="shared" si="148"/>
        <v>31.06518006454306</v>
      </c>
      <c r="BI121" s="41" t="str">
        <f t="shared" si="152"/>
        <v>770,488383802306+469,514129161546i</v>
      </c>
      <c r="BJ121" s="20">
        <f t="shared" si="149"/>
        <v>59.106755499532902</v>
      </c>
      <c r="BK121" s="43">
        <f t="shared" si="153"/>
        <v>31.356964313916652</v>
      </c>
      <c r="BL121">
        <f t="shared" si="150"/>
        <v>49.107130958395466</v>
      </c>
      <c r="BM121" s="43">
        <f t="shared" si="151"/>
        <v>31.06518006454306</v>
      </c>
    </row>
    <row r="122" spans="14:65" x14ac:dyDescent="0.25">
      <c r="N122" s="9">
        <v>4</v>
      </c>
      <c r="O122" s="34">
        <f t="shared" si="154"/>
        <v>109.64781961431861</v>
      </c>
      <c r="P122" s="33" t="str">
        <f t="shared" si="103"/>
        <v>54,631621870174</v>
      </c>
      <c r="Q122" s="4" t="str">
        <f t="shared" si="104"/>
        <v>1+3,0753485237795i</v>
      </c>
      <c r="R122" s="4">
        <f t="shared" si="117"/>
        <v>3.2338473282937699</v>
      </c>
      <c r="S122" s="4">
        <f t="shared" si="118"/>
        <v>1.256413934381942</v>
      </c>
      <c r="T122" s="4" t="str">
        <f t="shared" si="105"/>
        <v>1+0,0104167360457743i</v>
      </c>
      <c r="U122" s="4">
        <f t="shared" si="119"/>
        <v>1.0000542527232448</v>
      </c>
      <c r="V122" s="4">
        <f t="shared" si="120"/>
        <v>1.0416359302549945E-2</v>
      </c>
      <c r="W122" t="str">
        <f t="shared" si="106"/>
        <v>1-0,00274151602936305i</v>
      </c>
      <c r="X122" s="4">
        <f t="shared" si="121"/>
        <v>1.0000037579480086</v>
      </c>
      <c r="Y122" s="4">
        <f t="shared" si="122"/>
        <v>-2.7415091610646491E-3</v>
      </c>
      <c r="Z122" t="str">
        <f t="shared" si="107"/>
        <v>0,999999951909423+0,000376662128935985i</v>
      </c>
      <c r="AA122" s="4">
        <f t="shared" si="123"/>
        <v>1.0000000228466035</v>
      </c>
      <c r="AB122" s="4">
        <f t="shared" si="124"/>
        <v>3.766621292369845E-4</v>
      </c>
      <c r="AC122" s="47" t="str">
        <f t="shared" si="125"/>
        <v>5,34144284391346-16,0280669362096i</v>
      </c>
      <c r="AD122" s="20">
        <f t="shared" si="126"/>
        <v>24.554995283026898</v>
      </c>
      <c r="AE122" s="43">
        <f t="shared" si="127"/>
        <v>-71.56906039031729</v>
      </c>
      <c r="AF122" t="str">
        <f t="shared" si="108"/>
        <v>171,265703090588</v>
      </c>
      <c r="AG122" t="str">
        <f t="shared" si="109"/>
        <v>1+3,04591738478385i</v>
      </c>
      <c r="AH122">
        <f t="shared" si="128"/>
        <v>3.205871599881768</v>
      </c>
      <c r="AI122">
        <f t="shared" si="129"/>
        <v>1.2535750871901963</v>
      </c>
      <c r="AJ122" t="str">
        <f t="shared" si="110"/>
        <v>1+0,0104167360457743i</v>
      </c>
      <c r="AK122">
        <f t="shared" si="130"/>
        <v>1.0000542527232448</v>
      </c>
      <c r="AL122">
        <f t="shared" si="131"/>
        <v>1.0416359302549945E-2</v>
      </c>
      <c r="AM122" t="str">
        <f t="shared" si="111"/>
        <v>1-0,000866139620074865i</v>
      </c>
      <c r="AN122">
        <f t="shared" si="132"/>
        <v>1.0000003750988504</v>
      </c>
      <c r="AO122">
        <f t="shared" si="133"/>
        <v>-8.6613940348293796E-4</v>
      </c>
      <c r="AP122" s="41" t="str">
        <f t="shared" si="134"/>
        <v>17,1488679932411-50,5983455381945i</v>
      </c>
      <c r="AQ122">
        <f t="shared" si="135"/>
        <v>34.55496003019099</v>
      </c>
      <c r="AR122" s="43">
        <f t="shared" si="136"/>
        <v>-71.277374505104021</v>
      </c>
      <c r="AS122" t="str">
        <f t="shared" si="112"/>
        <v>-0,0000166666666666667</v>
      </c>
      <c r="AT122" t="str">
        <f t="shared" si="113"/>
        <v>1,05614129352989E-06i</v>
      </c>
      <c r="AU122">
        <f t="shared" si="137"/>
        <v>1.05614129352989E-6</v>
      </c>
      <c r="AV122">
        <f t="shared" si="138"/>
        <v>1.5707963267948966</v>
      </c>
      <c r="AW122" t="str">
        <f t="shared" si="114"/>
        <v>1+0,00489401834847127i</v>
      </c>
      <c r="AX122">
        <f t="shared" si="139"/>
        <v>1.0000119756360897</v>
      </c>
      <c r="AY122">
        <f t="shared" si="140"/>
        <v>4.8939792761436398E-3</v>
      </c>
      <c r="AZ122" t="str">
        <f t="shared" si="115"/>
        <v>1+0,227349397824438i</v>
      </c>
      <c r="BA122">
        <f t="shared" si="141"/>
        <v>1.0255182829628806</v>
      </c>
      <c r="BB122">
        <f t="shared" si="142"/>
        <v>0.22354950474006471</v>
      </c>
      <c r="BC122" s="41" t="str">
        <f t="shared" si="143"/>
        <v>-3,51042126726009+15,7978968781043i</v>
      </c>
      <c r="BD122">
        <f t="shared" si="144"/>
        <v>24.181298657349508</v>
      </c>
      <c r="BE122" s="43">
        <f t="shared" si="145"/>
        <v>102.52803877629796</v>
      </c>
      <c r="BF122" s="41" t="str">
        <f t="shared" si="146"/>
        <v>234,459034056464+140,648830274371i</v>
      </c>
      <c r="BG122" s="20">
        <f t="shared" si="147"/>
        <v>48.736293940376385</v>
      </c>
      <c r="BH122" s="43">
        <f t="shared" si="148"/>
        <v>30.958978385980647</v>
      </c>
      <c r="BI122" s="41" t="str">
        <f t="shared" si="152"/>
        <v>739,147694102176+448,537556398899i</v>
      </c>
      <c r="BJ122" s="20">
        <f t="shared" si="149"/>
        <v>58.736258687540499</v>
      </c>
      <c r="BK122" s="43">
        <f t="shared" si="153"/>
        <v>31.250664271193951</v>
      </c>
      <c r="BL122">
        <f t="shared" si="150"/>
        <v>48.736293940376385</v>
      </c>
      <c r="BM122" s="43">
        <f t="shared" si="151"/>
        <v>30.958978385980647</v>
      </c>
    </row>
    <row r="123" spans="14:65" x14ac:dyDescent="0.25">
      <c r="N123" s="9">
        <v>5</v>
      </c>
      <c r="O123" s="34">
        <f t="shared" si="154"/>
        <v>112.20184543019634</v>
      </c>
      <c r="P123" s="33" t="str">
        <f t="shared" si="103"/>
        <v>54,631621870174</v>
      </c>
      <c r="Q123" s="4" t="str">
        <f t="shared" si="104"/>
        <v>1+3,14698259320452i</v>
      </c>
      <c r="R123" s="4">
        <f t="shared" si="117"/>
        <v>3.3020447365128542</v>
      </c>
      <c r="S123" s="4">
        <f t="shared" si="118"/>
        <v>1.2631223570117203</v>
      </c>
      <c r="T123" s="4" t="str">
        <f t="shared" si="105"/>
        <v>1+0,0106593729980791i</v>
      </c>
      <c r="U123" s="4">
        <f t="shared" si="119"/>
        <v>1.0000568095026963</v>
      </c>
      <c r="V123" s="4">
        <f t="shared" si="120"/>
        <v>1.0658969311679608E-2</v>
      </c>
      <c r="W123" t="str">
        <f t="shared" si="106"/>
        <v>1-0,00280537414107257i</v>
      </c>
      <c r="X123" s="4">
        <f t="shared" si="121"/>
        <v>1.0000039350542933</v>
      </c>
      <c r="Y123" s="4">
        <f t="shared" si="122"/>
        <v>-2.8053667815598031E-3</v>
      </c>
      <c r="Z123" t="str">
        <f t="shared" si="107"/>
        <v>0,999999949642984+0,000385435716997743i</v>
      </c>
      <c r="AA123" s="4">
        <f t="shared" si="123"/>
        <v>1.0000000239233311</v>
      </c>
      <c r="AB123" s="4">
        <f t="shared" si="124"/>
        <v>3.8543571732026975E-4</v>
      </c>
      <c r="AC123" s="47" t="str">
        <f t="shared" si="125"/>
        <v>5,12839430128117-15,73094855065i</v>
      </c>
      <c r="AD123" s="20">
        <f t="shared" si="126"/>
        <v>24.373750217292041</v>
      </c>
      <c r="AE123" s="43">
        <f t="shared" si="127"/>
        <v>-71.943685626315329</v>
      </c>
      <c r="AF123" t="str">
        <f t="shared" si="108"/>
        <v>171,265703090588</v>
      </c>
      <c r="AG123" t="str">
        <f t="shared" si="109"/>
        <v>1+3,11686591491543i</v>
      </c>
      <c r="AH123">
        <f t="shared" si="128"/>
        <v>3.2733550268129488</v>
      </c>
      <c r="AI123">
        <f t="shared" si="129"/>
        <v>1.2603360333206388</v>
      </c>
      <c r="AJ123" t="str">
        <f t="shared" si="110"/>
        <v>1+0,0106593729980791i</v>
      </c>
      <c r="AK123">
        <f t="shared" si="130"/>
        <v>1.0000568095026963</v>
      </c>
      <c r="AL123">
        <f t="shared" si="131"/>
        <v>1.0658969311679608E-2</v>
      </c>
      <c r="AM123" t="str">
        <f t="shared" si="111"/>
        <v>1-0,000886314603559325i</v>
      </c>
      <c r="AN123">
        <f t="shared" si="132"/>
        <v>1.0000003927767112</v>
      </c>
      <c r="AO123">
        <f t="shared" si="133"/>
        <v>-8.8631437147689885E-4</v>
      </c>
      <c r="AP123" s="41" t="str">
        <f t="shared" si="134"/>
        <v>16,4709956436012-49,6640951889783i</v>
      </c>
      <c r="AQ123">
        <f t="shared" si="135"/>
        <v>34.374042648955054</v>
      </c>
      <c r="AR123" s="43">
        <f t="shared" si="136"/>
        <v>-71.652003594820812</v>
      </c>
      <c r="AS123" t="str">
        <f t="shared" si="112"/>
        <v>-0,0000166666666666667</v>
      </c>
      <c r="AT123" t="str">
        <f t="shared" si="113"/>
        <v>1,08074198452747E-06i</v>
      </c>
      <c r="AU123">
        <f t="shared" si="137"/>
        <v>1.08074198452747E-6</v>
      </c>
      <c r="AV123">
        <f t="shared" si="138"/>
        <v>1.5707963267948966</v>
      </c>
      <c r="AW123" t="str">
        <f t="shared" si="114"/>
        <v>1+0,00500801468008408i</v>
      </c>
      <c r="AX123">
        <f t="shared" si="139"/>
        <v>1.0000125400268918</v>
      </c>
      <c r="AY123">
        <f t="shared" si="140"/>
        <v>5.0079728133590783E-3</v>
      </c>
      <c r="AZ123" t="str">
        <f t="shared" si="115"/>
        <v>1+0,232645045592997i</v>
      </c>
      <c r="BA123">
        <f t="shared" si="141"/>
        <v>1.0267052728212551</v>
      </c>
      <c r="BB123">
        <f t="shared" si="142"/>
        <v>0.22857908476140196</v>
      </c>
      <c r="BC123" s="41" t="str">
        <f t="shared" si="143"/>
        <v>-3,51041730481196+15,4390840634564i</v>
      </c>
      <c r="BD123">
        <f t="shared" si="144"/>
        <v>23.991341455904582</v>
      </c>
      <c r="BE123" s="43">
        <f t="shared" si="145"/>
        <v>102.80968113566976</v>
      </c>
      <c r="BF123" s="41" t="str">
        <f t="shared" si="146"/>
        <v>224,868632970277+134,399904741339i</v>
      </c>
      <c r="BG123" s="20">
        <f t="shared" si="147"/>
        <v>48.36509167319663</v>
      </c>
      <c r="BH123" s="43">
        <f t="shared" si="148"/>
        <v>30.865995509354359</v>
      </c>
      <c r="BI123" s="41" t="str">
        <f t="shared" si="152"/>
        <v>708,948072423357+428,638785529601i</v>
      </c>
      <c r="BJ123" s="20">
        <f t="shared" si="149"/>
        <v>58.365384104859643</v>
      </c>
      <c r="BK123" s="43">
        <f t="shared" si="153"/>
        <v>31.157677540848951</v>
      </c>
      <c r="BL123">
        <f t="shared" si="150"/>
        <v>48.36509167319663</v>
      </c>
      <c r="BM123" s="43">
        <f t="shared" si="151"/>
        <v>30.865995509354359</v>
      </c>
    </row>
    <row r="124" spans="14:65" x14ac:dyDescent="0.25">
      <c r="N124" s="9">
        <v>6</v>
      </c>
      <c r="O124" s="34">
        <f t="shared" si="154"/>
        <v>114.81536214968835</v>
      </c>
      <c r="P124" s="33" t="str">
        <f t="shared" si="103"/>
        <v>54,631621870174</v>
      </c>
      <c r="Q124" s="4" t="str">
        <f t="shared" si="104"/>
        <v>1+3,2202852344557i</v>
      </c>
      <c r="R124" s="4">
        <f t="shared" si="117"/>
        <v>3.3719782014795707</v>
      </c>
      <c r="S124" s="4">
        <f t="shared" si="118"/>
        <v>1.2697058298699815</v>
      </c>
      <c r="T124" s="4" t="str">
        <f t="shared" si="105"/>
        <v>1+0,0109076616910411i</v>
      </c>
      <c r="U124" s="4">
        <f t="shared" si="119"/>
        <v>1.000059486772445</v>
      </c>
      <c r="V124" s="4">
        <f t="shared" si="120"/>
        <v>1.0907229134660416E-2</v>
      </c>
      <c r="W124" t="str">
        <f t="shared" si="106"/>
        <v>1-0,0028707196992852i</v>
      </c>
      <c r="X124" s="4">
        <f t="shared" si="121"/>
        <v>1.0000041205073067</v>
      </c>
      <c r="Y124" s="4">
        <f t="shared" si="122"/>
        <v>-2.8707118134269479E-3</v>
      </c>
      <c r="Z124" t="str">
        <f t="shared" si="107"/>
        <v>0,99999994726973+0,000394413668178499i</v>
      </c>
      <c r="AA124" s="4">
        <f t="shared" si="123"/>
        <v>1.0000000250508019</v>
      </c>
      <c r="AB124" s="4">
        <f t="shared" si="124"/>
        <v>3.9441366852409305E-4</v>
      </c>
      <c r="AC124" s="47" t="str">
        <f t="shared" si="125"/>
        <v>4,92320813452528-15,4366114630412i</v>
      </c>
      <c r="AD124" s="20">
        <f t="shared" si="126"/>
        <v>24.191738959924511</v>
      </c>
      <c r="AE124" s="43">
        <f t="shared" si="127"/>
        <v>-72.310924988803919</v>
      </c>
      <c r="AF124" t="str">
        <f t="shared" si="108"/>
        <v>171,265703090588</v>
      </c>
      <c r="AG124" t="str">
        <f t="shared" si="109"/>
        <v>1+3,1894670486117i</v>
      </c>
      <c r="AH124">
        <f t="shared" si="128"/>
        <v>3.3425589081091496</v>
      </c>
      <c r="AI124">
        <f t="shared" si="129"/>
        <v>1.2669715448531038</v>
      </c>
      <c r="AJ124" t="str">
        <f t="shared" si="110"/>
        <v>1+0,0109076616910411i</v>
      </c>
      <c r="AK124">
        <f t="shared" si="130"/>
        <v>1.000059486772445</v>
      </c>
      <c r="AL124">
        <f t="shared" si="131"/>
        <v>1.0907229134660416E-2</v>
      </c>
      <c r="AM124" t="str">
        <f t="shared" si="111"/>
        <v>1-0,000906959522778351i</v>
      </c>
      <c r="AN124">
        <f t="shared" si="132"/>
        <v>1.0000004112877035</v>
      </c>
      <c r="AO124">
        <f t="shared" si="133"/>
        <v>-9.0695927409755654E-4</v>
      </c>
      <c r="AP124" s="41" t="str">
        <f t="shared" si="134"/>
        <v>15,8180424834373-48,7383479862161i</v>
      </c>
      <c r="AQ124">
        <f t="shared" si="135"/>
        <v>34.192346891157911</v>
      </c>
      <c r="AR124" s="43">
        <f t="shared" si="136"/>
        <v>-72.019149026250574</v>
      </c>
      <c r="AS124" t="str">
        <f t="shared" si="112"/>
        <v>-0,0000166666666666667</v>
      </c>
      <c r="AT124" t="str">
        <f t="shared" si="113"/>
        <v>1,10591569923055E-06i</v>
      </c>
      <c r="AU124">
        <f t="shared" si="137"/>
        <v>1.10591569923055E-6</v>
      </c>
      <c r="AV124">
        <f t="shared" si="138"/>
        <v>1.5707963267948966</v>
      </c>
      <c r="AW124" t="str">
        <f t="shared" si="114"/>
        <v>1+0,00512466632736918i</v>
      </c>
      <c r="AX124">
        <f t="shared" si="139"/>
        <v>1.0000131310162717</v>
      </c>
      <c r="AY124">
        <f t="shared" si="140"/>
        <v>5.1246214663969083E-3</v>
      </c>
      <c r="AZ124" t="str">
        <f t="shared" si="115"/>
        <v>1+0,23806404484415i</v>
      </c>
      <c r="BA124">
        <f t="shared" si="141"/>
        <v>1.0279467347326696</v>
      </c>
      <c r="BB124">
        <f t="shared" si="142"/>
        <v>0.23371366086801632</v>
      </c>
      <c r="BC124" s="41" t="str">
        <f t="shared" si="143"/>
        <v>-3,51041315562897+15,0884572536686i</v>
      </c>
      <c r="BD124">
        <f t="shared" si="144"/>
        <v>23.801832701091122</v>
      </c>
      <c r="BE124" s="43">
        <f t="shared" si="145"/>
        <v>103.09718720066247</v>
      </c>
      <c r="BF124" s="41" t="str">
        <f t="shared" si="146"/>
        <v>215,632157598251+128,472499446891i</v>
      </c>
      <c r="BG124" s="20">
        <f t="shared" si="147"/>
        <v>47.993571661015643</v>
      </c>
      <c r="BH124" s="43">
        <f t="shared" si="148"/>
        <v>30.786262211858524</v>
      </c>
      <c r="BI124" s="41" t="str">
        <f t="shared" si="152"/>
        <v>679,85861577429+409,761595802493i</v>
      </c>
      <c r="BJ124" s="20">
        <f t="shared" si="149"/>
        <v>57.994179592249033</v>
      </c>
      <c r="BK124" s="43">
        <f t="shared" si="153"/>
        <v>31.078038174411908</v>
      </c>
      <c r="BL124">
        <f t="shared" si="150"/>
        <v>47.993571661015643</v>
      </c>
      <c r="BM124" s="43">
        <f t="shared" si="151"/>
        <v>30.786262211858524</v>
      </c>
    </row>
    <row r="125" spans="14:65" x14ac:dyDescent="0.25">
      <c r="N125" s="9">
        <v>7</v>
      </c>
      <c r="O125" s="34">
        <f t="shared" si="154"/>
        <v>117.48975549395293</v>
      </c>
      <c r="P125" s="33" t="str">
        <f t="shared" si="103"/>
        <v>54,631621870174</v>
      </c>
      <c r="Q125" s="4" t="str">
        <f t="shared" si="104"/>
        <v>1+3,2952953135637i</v>
      </c>
      <c r="R125" s="4">
        <f t="shared" si="117"/>
        <v>3.4436857004661272</v>
      </c>
      <c r="S125" s="4">
        <f t="shared" si="118"/>
        <v>1.2761655600516826</v>
      </c>
      <c r="T125" s="4" t="str">
        <f t="shared" si="105"/>
        <v>1+0,0111617337706116i</v>
      </c>
      <c r="U125" s="4">
        <f t="shared" si="119"/>
        <v>1.0000622902103478</v>
      </c>
      <c r="V125" s="4">
        <f t="shared" si="120"/>
        <v>1.1161270279658277E-2</v>
      </c>
      <c r="W125" t="str">
        <f t="shared" si="106"/>
        <v>1-0,00293758735108086i</v>
      </c>
      <c r="X125" s="4">
        <f t="shared" si="121"/>
        <v>1.0000043147004143</v>
      </c>
      <c r="Y125" s="4">
        <f t="shared" si="122"/>
        <v>-2.9375789012334739E-3</v>
      </c>
      <c r="Z125" t="str">
        <f t="shared" si="107"/>
        <v>0,999999944784629+0,000403600742706804i</v>
      </c>
      <c r="AA125" s="4">
        <f t="shared" si="123"/>
        <v>1.0000000262314099</v>
      </c>
      <c r="AB125" s="4">
        <f t="shared" si="124"/>
        <v>4.036007430771146E-4</v>
      </c>
      <c r="AC125" s="47" t="str">
        <f t="shared" si="125"/>
        <v>4,72566271179905-15,1452058636293i</v>
      </c>
      <c r="AD125" s="20">
        <f t="shared" si="126"/>
        <v>24.008990008692834</v>
      </c>
      <c r="AE125" s="43">
        <f t="shared" si="127"/>
        <v>-72.670842362095172</v>
      </c>
      <c r="AF125" t="str">
        <f t="shared" si="108"/>
        <v>171,265703090588</v>
      </c>
      <c r="AG125" t="str">
        <f t="shared" si="109"/>
        <v>1+3,26375927995473i</v>
      </c>
      <c r="AH125">
        <f t="shared" si="128"/>
        <v>3.4135208564604693</v>
      </c>
      <c r="AI125">
        <f t="shared" si="129"/>
        <v>1.2734828019024786</v>
      </c>
      <c r="AJ125" t="str">
        <f t="shared" si="110"/>
        <v>1+0,0111617337706116i</v>
      </c>
      <c r="AK125">
        <f t="shared" si="130"/>
        <v>1.0000622902103478</v>
      </c>
      <c r="AL125">
        <f t="shared" si="131"/>
        <v>1.1161270279658277E-2</v>
      </c>
      <c r="AM125" t="str">
        <f t="shared" si="111"/>
        <v>1-0,000928085323941383i</v>
      </c>
      <c r="AN125">
        <f t="shared" si="132"/>
        <v>1.0000004306710915</v>
      </c>
      <c r="AO125">
        <f t="shared" si="133"/>
        <v>-9.2808505747511694E-4</v>
      </c>
      <c r="AP125" s="41" t="str">
        <f t="shared" si="134"/>
        <v>15,1893140094256-47,8215915580083i</v>
      </c>
      <c r="AQ125">
        <f t="shared" si="135"/>
        <v>34.009901591236876</v>
      </c>
      <c r="AR125" s="43">
        <f t="shared" si="136"/>
        <v>-72.378871507299962</v>
      </c>
      <c r="AS125" t="str">
        <f t="shared" si="112"/>
        <v>-0,0000166666666666667</v>
      </c>
      <c r="AT125" t="str">
        <f t="shared" si="113"/>
        <v>1,13167578507589E-06i</v>
      </c>
      <c r="AU125">
        <f t="shared" si="137"/>
        <v>1.13167578507589E-6</v>
      </c>
      <c r="AV125">
        <f t="shared" si="138"/>
        <v>1.5707963267948966</v>
      </c>
      <c r="AW125" t="str">
        <f t="shared" si="114"/>
        <v>1+0,00524403514057403i</v>
      </c>
      <c r="AX125">
        <f t="shared" si="139"/>
        <v>1.0000137498577484</v>
      </c>
      <c r="AY125">
        <f t="shared" si="140"/>
        <v>5.2439870712118856E-3</v>
      </c>
      <c r="AZ125" t="str">
        <f t="shared" si="115"/>
        <v>1+0,24360926880303i</v>
      </c>
      <c r="BA125">
        <f t="shared" si="141"/>
        <v>1.0292450999867557</v>
      </c>
      <c r="BB125">
        <f t="shared" si="142"/>
        <v>0.23895487206239013</v>
      </c>
      <c r="BC125" s="41" t="str">
        <f t="shared" si="143"/>
        <v>-3,51040881091154+14,7458305416314i</v>
      </c>
      <c r="BD125">
        <f t="shared" si="144"/>
        <v>23.612791260999035</v>
      </c>
      <c r="BE125" s="43">
        <f t="shared" si="145"/>
        <v>103.39064733626182</v>
      </c>
      <c r="BF125" s="41" t="str">
        <f t="shared" si="146"/>
        <v>206,739631162304+122,849685651849i</v>
      </c>
      <c r="BG125" s="20">
        <f t="shared" si="147"/>
        <v>47.621781269691866</v>
      </c>
      <c r="BH125" s="43">
        <f t="shared" si="148"/>
        <v>30.719804974166806</v>
      </c>
      <c r="BI125" s="41" t="str">
        <f t="shared" si="152"/>
        <v>651,848383615111+391,852386783663i</v>
      </c>
      <c r="BJ125" s="20">
        <f t="shared" si="149"/>
        <v>57.6226928522359</v>
      </c>
      <c r="BK125" s="43">
        <f t="shared" si="153"/>
        <v>31.011775828961891</v>
      </c>
      <c r="BL125">
        <f t="shared" si="150"/>
        <v>47.621781269691866</v>
      </c>
      <c r="BM125" s="43">
        <f t="shared" si="151"/>
        <v>30.719804974166806</v>
      </c>
    </row>
    <row r="126" spans="14:65" x14ac:dyDescent="0.25">
      <c r="N126" s="9">
        <v>8</v>
      </c>
      <c r="O126" s="34">
        <f t="shared" si="154"/>
        <v>120.22644346174135</v>
      </c>
      <c r="P126" s="33" t="str">
        <f t="shared" si="103"/>
        <v>54,631621870174</v>
      </c>
      <c r="Q126" s="4" t="str">
        <f t="shared" si="104"/>
        <v>1+3,37205260186535i</v>
      </c>
      <c r="R126" s="4">
        <f t="shared" si="117"/>
        <v>3.5172060999814723</v>
      </c>
      <c r="S126" s="4">
        <f t="shared" si="118"/>
        <v>1.2825028153837768</v>
      </c>
      <c r="T126" s="4" t="str">
        <f t="shared" si="105"/>
        <v>1+0,0114217239491703i</v>
      </c>
      <c r="U126" s="4">
        <f t="shared" si="119"/>
        <v>1.0000652257617855</v>
      </c>
      <c r="V126" s="4">
        <f t="shared" si="120"/>
        <v>1.1421227311415426E-2</v>
      </c>
      <c r="W126" t="str">
        <f t="shared" si="106"/>
        <v>1-0,00300601255057363i</v>
      </c>
      <c r="X126" s="4">
        <f t="shared" si="121"/>
        <v>1.0000045180455208</v>
      </c>
      <c r="Y126" s="4">
        <f t="shared" si="122"/>
        <v>-3.0060034964012384E-3</v>
      </c>
      <c r="Z126" t="str">
        <f t="shared" si="107"/>
        <v>0,999999942182409+0,000413001811691181i</v>
      </c>
      <c r="AA126" s="4">
        <f t="shared" si="123"/>
        <v>1.0000000274676584</v>
      </c>
      <c r="AB126" s="4">
        <f t="shared" si="124"/>
        <v>4.1300181208797588E-4</v>
      </c>
      <c r="AC126" s="47" t="str">
        <f t="shared" si="125"/>
        <v>4,53553699925584-14,8568691603819i</v>
      </c>
      <c r="AD126" s="20">
        <f t="shared" si="126"/>
        <v>23.825531051468541</v>
      </c>
      <c r="AE126" s="43">
        <f t="shared" si="127"/>
        <v>-73.0235049876418</v>
      </c>
      <c r="AF126" t="str">
        <f t="shared" si="108"/>
        <v>171,265703090588</v>
      </c>
      <c r="AG126" t="str">
        <f t="shared" si="109"/>
        <v>1+3,33978199966896i</v>
      </c>
      <c r="AH126">
        <f t="shared" si="128"/>
        <v>3.4862793642094716</v>
      </c>
      <c r="AI126">
        <f t="shared" si="129"/>
        <v>1.2798710475887363</v>
      </c>
      <c r="AJ126" t="str">
        <f t="shared" si="110"/>
        <v>1+0,0114217239491703i</v>
      </c>
      <c r="AK126">
        <f t="shared" si="130"/>
        <v>1.0000652257617855</v>
      </c>
      <c r="AL126">
        <f t="shared" si="131"/>
        <v>1.1421227311415426E-2</v>
      </c>
      <c r="AM126" t="str">
        <f t="shared" si="111"/>
        <v>1-0,000949703208227833i</v>
      </c>
      <c r="AN126">
        <f t="shared" si="132"/>
        <v>1.0000004509679903</v>
      </c>
      <c r="AO126">
        <f t="shared" si="133"/>
        <v>-9.497029227040917E-4</v>
      </c>
      <c r="AP126" s="41" t="str">
        <f t="shared" si="134"/>
        <v>14,5841168256299-46,9142728603312i</v>
      </c>
      <c r="AQ126">
        <f t="shared" si="135"/>
        <v>33.826734772857904</v>
      </c>
      <c r="AR126" s="43">
        <f t="shared" si="136"/>
        <v>-72.731235195280448</v>
      </c>
      <c r="AS126" t="str">
        <f t="shared" si="112"/>
        <v>-0,0000166666666666667</v>
      </c>
      <c r="AT126" t="str">
        <f t="shared" si="113"/>
        <v>1,15803590040198E-06i</v>
      </c>
      <c r="AU126">
        <f t="shared" si="137"/>
        <v>1.15803590040198E-6</v>
      </c>
      <c r="AV126">
        <f t="shared" si="138"/>
        <v>1.5707963267948966</v>
      </c>
      <c r="AW126" t="str">
        <f t="shared" si="114"/>
        <v>1+0,00536618441062343i</v>
      </c>
      <c r="AX126">
        <f t="shared" si="139"/>
        <v>1.0000143978639151</v>
      </c>
      <c r="AY126">
        <f t="shared" si="140"/>
        <v>5.366132903413953E-3</v>
      </c>
      <c r="AZ126" t="str">
        <f t="shared" si="115"/>
        <v>1+0,249283657620779i</v>
      </c>
      <c r="BA126">
        <f t="shared" si="141"/>
        <v>1.0306029021678493</v>
      </c>
      <c r="BB126">
        <f t="shared" si="142"/>
        <v>0.24430434497974637</v>
      </c>
      <c r="BC126" s="41" t="str">
        <f t="shared" si="143"/>
        <v>-3,51040426144541+14,4110222619833i</v>
      </c>
      <c r="BD126">
        <f t="shared" si="144"/>
        <v>23.424236692637788</v>
      </c>
      <c r="BE126" s="43">
        <f t="shared" si="145"/>
        <v>103.69015111637569</v>
      </c>
      <c r="BF126" s="41" t="str">
        <f t="shared" si="146"/>
        <v>198,181103803506+117,515341478666i</v>
      </c>
      <c r="BG126" s="20">
        <f t="shared" si="147"/>
        <v>47.249767744106336</v>
      </c>
      <c r="BH126" s="43">
        <f t="shared" si="148"/>
        <v>30.666646128733753</v>
      </c>
      <c r="BI126" s="41" t="str">
        <f t="shared" si="152"/>
        <v>624,886484740883+374,860095617037i</v>
      </c>
      <c r="BJ126" s="20">
        <f t="shared" si="149"/>
        <v>57.250971465495688</v>
      </c>
      <c r="BK126" s="43">
        <f t="shared" si="153"/>
        <v>30.958915921095219</v>
      </c>
      <c r="BL126">
        <f t="shared" si="150"/>
        <v>47.249767744106336</v>
      </c>
      <c r="BM126" s="43">
        <f t="shared" si="151"/>
        <v>30.666646128733753</v>
      </c>
    </row>
    <row r="127" spans="14:65" x14ac:dyDescent="0.25">
      <c r="N127" s="9">
        <v>9</v>
      </c>
      <c r="O127" s="34">
        <f t="shared" si="154"/>
        <v>123.02687708123821</v>
      </c>
      <c r="P127" s="33" t="str">
        <f t="shared" si="103"/>
        <v>54,631621870174</v>
      </c>
      <c r="Q127" s="4" t="str">
        <f t="shared" si="104"/>
        <v>1+3,4505977970909i</v>
      </c>
      <c r="R127" s="4">
        <f t="shared" si="117"/>
        <v>3.592579178986675</v>
      </c>
      <c r="S127" s="4">
        <f t="shared" si="118"/>
        <v>1.2887189191281259</v>
      </c>
      <c r="T127" s="4" t="str">
        <f t="shared" si="105"/>
        <v>1+0,0116877700769512i</v>
      </c>
      <c r="U127" s="4">
        <f t="shared" si="119"/>
        <v>1.0000682996522647</v>
      </c>
      <c r="V127" s="4">
        <f t="shared" si="120"/>
        <v>1.1687237921972004E-2</v>
      </c>
      <c r="W127" t="str">
        <f t="shared" si="106"/>
        <v>1-0,00307603157770999i</v>
      </c>
      <c r="X127" s="4">
        <f t="shared" si="121"/>
        <v>1.0000047309739424</v>
      </c>
      <c r="Y127" s="4">
        <f t="shared" si="122"/>
        <v>-3.0760218759919586E-3</v>
      </c>
      <c r="Z127" t="str">
        <f t="shared" si="107"/>
        <v>0,99999993945755+0,000422621859702841i</v>
      </c>
      <c r="AA127" s="4">
        <f t="shared" si="123"/>
        <v>1.0000000287621695</v>
      </c>
      <c r="AB127" s="4">
        <f t="shared" si="124"/>
        <v>4.2262186012801431E-4</v>
      </c>
      <c r="AC127" s="47" t="str">
        <f t="shared" si="125"/>
        <v>4,35261111029777-14,5717264693812i</v>
      </c>
      <c r="AD127" s="20">
        <f t="shared" si="126"/>
        <v>23.64138896956069</v>
      </c>
      <c r="AE127" s="43">
        <f t="shared" si="127"/>
        <v>-73.368983157708243</v>
      </c>
      <c r="AF127" t="str">
        <f t="shared" si="108"/>
        <v>171,265703090588</v>
      </c>
      <c r="AG127" t="str">
        <f t="shared" si="109"/>
        <v>1+3,41757551600665i</v>
      </c>
      <c r="AH127">
        <f t="shared" si="128"/>
        <v>3.5608738264094844</v>
      </c>
      <c r="AI127">
        <f t="shared" si="129"/>
        <v>1.2861375826537258</v>
      </c>
      <c r="AJ127" t="str">
        <f t="shared" si="110"/>
        <v>1+0,0116877700769512i</v>
      </c>
      <c r="AK127">
        <f t="shared" si="130"/>
        <v>1.0000682996522647</v>
      </c>
      <c r="AL127">
        <f t="shared" si="131"/>
        <v>1.1687237921972004E-2</v>
      </c>
      <c r="AM127" t="str">
        <f t="shared" si="111"/>
        <v>1-0,00097182463772609i</v>
      </c>
      <c r="AN127">
        <f t="shared" si="132"/>
        <v>1.0000004722214517</v>
      </c>
      <c r="AO127">
        <f t="shared" si="133"/>
        <v>-9.7182433178189692E-4</v>
      </c>
      <c r="AP127" s="41" t="str">
        <f t="shared" si="134"/>
        <v>14,0017604305949-46,0167996986625i</v>
      </c>
      <c r="AQ127">
        <f t="shared" si="135"/>
        <v>33.642873651385649</v>
      </c>
      <c r="AR127" s="43">
        <f t="shared" si="136"/>
        <v>-73.076307384761506</v>
      </c>
      <c r="AS127" t="str">
        <f t="shared" si="112"/>
        <v>-0,0000166666666666667</v>
      </c>
      <c r="AT127" t="str">
        <f t="shared" si="113"/>
        <v>1,18501002169088E-06i</v>
      </c>
      <c r="AU127">
        <f t="shared" si="137"/>
        <v>1.18501002169088E-6</v>
      </c>
      <c r="AV127">
        <f t="shared" si="138"/>
        <v>1.5707963267948966</v>
      </c>
      <c r="AW127" t="str">
        <f t="shared" si="114"/>
        <v>1+0,00549117890267718i</v>
      </c>
      <c r="AX127">
        <f t="shared" si="139"/>
        <v>1.0000150764092215</v>
      </c>
      <c r="AY127">
        <f t="shared" si="140"/>
        <v>5.4911237117528057E-3</v>
      </c>
      <c r="AZ127" t="str">
        <f t="shared" si="115"/>
        <v>1+0,255090219933458i</v>
      </c>
      <c r="BA127">
        <f t="shared" si="141"/>
        <v>1.0320227809044236</v>
      </c>
      <c r="BB127">
        <f t="shared" si="142"/>
        <v>0.24976369077226068</v>
      </c>
      <c r="BC127" s="41" t="str">
        <f t="shared" si="143"/>
        <v>-3,51039949758217+14,0838548947893i</v>
      </c>
      <c r="BD127">
        <f t="shared" si="144"/>
        <v>23.236189257588173</v>
      </c>
      <c r="BE127" s="43">
        <f t="shared" si="145"/>
        <v>103.9957871433935</v>
      </c>
      <c r="BF127" s="41" t="str">
        <f t="shared" si="146"/>
        <v>189,946677306565+112,454124567902i</v>
      </c>
      <c r="BG127" s="20">
        <f t="shared" si="147"/>
        <v>46.877578227148852</v>
      </c>
      <c r="BH127" s="43">
        <f t="shared" si="148"/>
        <v>30.626803985685296</v>
      </c>
      <c r="BI127" s="41" t="str">
        <f t="shared" si="152"/>
        <v>598,94215689772+358,736112718625i</v>
      </c>
      <c r="BJ127" s="20">
        <f t="shared" si="149"/>
        <v>56.879062908973815</v>
      </c>
      <c r="BK127" s="43">
        <f t="shared" si="153"/>
        <v>30.919479758631994</v>
      </c>
      <c r="BL127">
        <f t="shared" si="150"/>
        <v>46.877578227148852</v>
      </c>
      <c r="BM127" s="43">
        <f t="shared" si="151"/>
        <v>30.626803985685296</v>
      </c>
    </row>
    <row r="128" spans="14:65" x14ac:dyDescent="0.25">
      <c r="N128" s="9">
        <v>10</v>
      </c>
      <c r="O128" s="34">
        <f t="shared" si="154"/>
        <v>125.89254117941677</v>
      </c>
      <c r="P128" s="33" t="str">
        <f t="shared" si="103"/>
        <v>54,631621870174</v>
      </c>
      <c r="Q128" s="4" t="str">
        <f t="shared" si="104"/>
        <v>1+3,53097254494252i</v>
      </c>
      <c r="R128" s="4">
        <f t="shared" si="117"/>
        <v>3.6698456524951912</v>
      </c>
      <c r="S128" s="4">
        <f t="shared" si="118"/>
        <v>1.2948152448935097</v>
      </c>
      <c r="T128" s="4" t="str">
        <f t="shared" si="105"/>
        <v>1+0,0119600132151328i</v>
      </c>
      <c r="U128" s="4">
        <f t="shared" si="119"/>
        <v>1.0000715184006124</v>
      </c>
      <c r="V128" s="4">
        <f t="shared" si="120"/>
        <v>1.1959443003001559E-2</v>
      </c>
      <c r="W128" t="str">
        <f t="shared" si="106"/>
        <v>1-0,00314768155750494i</v>
      </c>
      <c r="X128" s="4">
        <f t="shared" si="121"/>
        <v>1.000004953937323</v>
      </c>
      <c r="Y128" s="4">
        <f t="shared" si="122"/>
        <v>-3.1476711619295569E-3</v>
      </c>
      <c r="Z128" t="str">
        <f t="shared" si="107"/>
        <v>0,999999936604272+0,000432465987418576i</v>
      </c>
      <c r="AA128" s="4">
        <f t="shared" si="123"/>
        <v>1.0000000301176886</v>
      </c>
      <c r="AB128" s="4">
        <f t="shared" si="124"/>
        <v>4.3246598787415746E-4</v>
      </c>
      <c r="AC128" s="47" t="str">
        <f t="shared" si="125"/>
        <v>4,17666680525914-14,2898911136656i</v>
      </c>
      <c r="AD128" s="20">
        <f t="shared" si="126"/>
        <v>23.456589842979824</v>
      </c>
      <c r="AE128" s="43">
        <f t="shared" si="127"/>
        <v>-73.707349920958691</v>
      </c>
      <c r="AF128" t="str">
        <f t="shared" si="108"/>
        <v>171,265703090588</v>
      </c>
      <c r="AG128" t="str">
        <f t="shared" si="109"/>
        <v>1+3,49718107611989i</v>
      </c>
      <c r="AH128">
        <f t="shared" si="128"/>
        <v>3.6373445642626532</v>
      </c>
      <c r="AI128">
        <f t="shared" si="129"/>
        <v>1.2922837602854316</v>
      </c>
      <c r="AJ128" t="str">
        <f t="shared" si="110"/>
        <v>1+0,0119600132151328i</v>
      </c>
      <c r="AK128">
        <f t="shared" si="130"/>
        <v>1.0000715184006124</v>
      </c>
      <c r="AL128">
        <f t="shared" si="131"/>
        <v>1.1959443003001559E-2</v>
      </c>
      <c r="AM128" t="str">
        <f t="shared" si="111"/>
        <v>1-0,00099446134151089i</v>
      </c>
      <c r="AN128">
        <f t="shared" si="132"/>
        <v>1.0000004944765577</v>
      </c>
      <c r="AO128">
        <f t="shared" si="133"/>
        <v>-9.9446101368578957E-4</v>
      </c>
      <c r="AP128" s="41" t="str">
        <f t="shared" si="134"/>
        <v>13,4415588467356-45,1295422809436i</v>
      </c>
      <c r="AQ128">
        <f t="shared" si="135"/>
        <v>33.458344638358668</v>
      </c>
      <c r="AR128" s="43">
        <f t="shared" si="136"/>
        <v>-73.414158207226308</v>
      </c>
      <c r="AS128" t="str">
        <f t="shared" si="112"/>
        <v>-0,0000166666666666667</v>
      </c>
      <c r="AT128" t="str">
        <f t="shared" si="113"/>
        <v>1,21261245097875E-06i</v>
      </c>
      <c r="AU128">
        <f t="shared" si="137"/>
        <v>1.2126124509787501E-6</v>
      </c>
      <c r="AV128">
        <f t="shared" si="138"/>
        <v>1.5707963267948966</v>
      </c>
      <c r="AW128" t="str">
        <f t="shared" si="114"/>
        <v>1+0,00561908489046948i</v>
      </c>
      <c r="AX128">
        <f t="shared" si="139"/>
        <v>1.0000157869328896</v>
      </c>
      <c r="AY128">
        <f t="shared" si="140"/>
        <v>5.6190257523789618E-3</v>
      </c>
      <c r="AZ128" t="str">
        <f t="shared" si="115"/>
        <v>1+0,261032034457264i</v>
      </c>
      <c r="BA128">
        <f t="shared" si="141"/>
        <v>1.0335074857072388</v>
      </c>
      <c r="BB128">
        <f t="shared" si="142"/>
        <v>0.25533450180096395</v>
      </c>
      <c r="BC128" s="41" t="str">
        <f t="shared" si="143"/>
        <v>-3,51039450921882+13,7641549714161i</v>
      </c>
      <c r="BD128">
        <f t="shared" si="144"/>
        <v>23.048669937100719</v>
      </c>
      <c r="BE128" s="43">
        <f t="shared" si="145"/>
        <v>104.30764285668411</v>
      </c>
      <c r="BF128" s="41" t="str">
        <f t="shared" si="146"/>
        <v>182,026527593137+107,651444474303i</v>
      </c>
      <c r="BG128" s="20">
        <f t="shared" si="147"/>
        <v>46.50525978008055</v>
      </c>
      <c r="BH128" s="43">
        <f t="shared" si="148"/>
        <v>30.600292935725474</v>
      </c>
      <c r="BI128" s="41" t="str">
        <f t="shared" si="152"/>
        <v>573,984839373061+343,434196450461i</v>
      </c>
      <c r="BJ128" s="20">
        <f t="shared" si="149"/>
        <v>56.507014575459394</v>
      </c>
      <c r="BK128" s="43">
        <f t="shared" si="153"/>
        <v>30.893484649457793</v>
      </c>
      <c r="BL128">
        <f t="shared" si="150"/>
        <v>46.50525978008055</v>
      </c>
      <c r="BM128" s="43">
        <f t="shared" si="151"/>
        <v>30.600292935725474</v>
      </c>
    </row>
    <row r="129" spans="14:65" x14ac:dyDescent="0.25">
      <c r="N129" s="9">
        <v>11</v>
      </c>
      <c r="O129" s="34">
        <f t="shared" si="154"/>
        <v>128.82495516931343</v>
      </c>
      <c r="P129" s="33" t="str">
        <f t="shared" si="103"/>
        <v>54,631621870174</v>
      </c>
      <c r="Q129" s="4" t="str">
        <f t="shared" si="104"/>
        <v>1+3,61321946117542i</v>
      </c>
      <c r="R129" s="4">
        <f t="shared" si="117"/>
        <v>3.7490471955707347</v>
      </c>
      <c r="S129" s="4">
        <f t="shared" si="118"/>
        <v>1.3007932117595511</v>
      </c>
      <c r="T129" s="4" t="str">
        <f t="shared" si="105"/>
        <v>1+0,0122385977106306i</v>
      </c>
      <c r="U129" s="4">
        <f t="shared" si="119"/>
        <v>1.0000748888327926</v>
      </c>
      <c r="V129" s="4">
        <f t="shared" si="120"/>
        <v>1.2237986719794945E-2</v>
      </c>
      <c r="W129" t="str">
        <f t="shared" si="106"/>
        <v>1-0,00322100047972618i</v>
      </c>
      <c r="X129" s="4">
        <f t="shared" si="121"/>
        <v>1.0000051874085907</v>
      </c>
      <c r="Y129" s="4">
        <f t="shared" si="122"/>
        <v>-3.2209893406695889E-3</v>
      </c>
      <c r="Z129" t="str">
        <f t="shared" si="107"/>
        <v>0,999999933616524+0,000442539414325206i</v>
      </c>
      <c r="AA129" s="4">
        <f t="shared" si="123"/>
        <v>1.0000000315370923</v>
      </c>
      <c r="AB129" s="4">
        <f t="shared" si="124"/>
        <v>4.4253941481337011E-4</v>
      </c>
      <c r="AC129" s="47" t="str">
        <f t="shared" si="125"/>
        <v>4,00748794350009-14,0114651270381i</v>
      </c>
      <c r="AD129" s="20">
        <f t="shared" si="126"/>
        <v>23.271158957453466</v>
      </c>
      <c r="AE129" s="43">
        <f t="shared" si="127"/>
        <v>-74.03868080012198</v>
      </c>
      <c r="AF129" t="str">
        <f t="shared" si="108"/>
        <v>171,265703090588</v>
      </c>
      <c r="AG129" t="str">
        <f t="shared" si="109"/>
        <v>1+3,57864088793035i</v>
      </c>
      <c r="AH129">
        <f t="shared" si="128"/>
        <v>3.7157328489501134</v>
      </c>
      <c r="AI129">
        <f t="shared" si="129"/>
        <v>1.2983109811531448</v>
      </c>
      <c r="AJ129" t="str">
        <f t="shared" si="110"/>
        <v>1+0,0122385977106306i</v>
      </c>
      <c r="AK129">
        <f t="shared" si="130"/>
        <v>1.0000748888327926</v>
      </c>
      <c r="AL129">
        <f t="shared" si="131"/>
        <v>1.2237986719794945E-2</v>
      </c>
      <c r="AM129" t="str">
        <f t="shared" si="111"/>
        <v>1-0,00101762532186221i</v>
      </c>
      <c r="AN129">
        <f t="shared" si="132"/>
        <v>1.0000005177805138</v>
      </c>
      <c r="AO129">
        <f t="shared" si="133"/>
        <v>-1.0176249705912959E-3</v>
      </c>
      <c r="AP129" s="41" t="str">
        <f t="shared" si="134"/>
        <v>12,9028320980132-44,2528347905276i</v>
      </c>
      <c r="AQ129">
        <f t="shared" si="135"/>
        <v>33.273173347789857</v>
      </c>
      <c r="AR129" s="43">
        <f t="shared" si="136"/>
        <v>-73.744860342724735</v>
      </c>
      <c r="AS129" t="str">
        <f t="shared" si="112"/>
        <v>-0,0000166666666666667</v>
      </c>
      <c r="AT129" t="str">
        <f t="shared" si="113"/>
        <v>1,24085782343894E-06i</v>
      </c>
      <c r="AU129">
        <f t="shared" si="137"/>
        <v>1.2408578234389399E-6</v>
      </c>
      <c r="AV129">
        <f t="shared" si="138"/>
        <v>1.5707963267948966</v>
      </c>
      <c r="AW129" t="str">
        <f t="shared" si="114"/>
        <v>1+0,00574997019144809i</v>
      </c>
      <c r="AX129">
        <f t="shared" si="139"/>
        <v>1.0000165309419653</v>
      </c>
      <c r="AY129">
        <f t="shared" si="140"/>
        <v>5.7499068238989993E-3</v>
      </c>
      <c r="AZ129" t="str">
        <f t="shared" si="115"/>
        <v>1+0,267112251620907i</v>
      </c>
      <c r="BA129">
        <f t="shared" si="141"/>
        <v>1.0350598798939077</v>
      </c>
      <c r="BB129">
        <f t="shared" si="142"/>
        <v>0.26101834813027708</v>
      </c>
      <c r="BC129" s="41" t="str">
        <f t="shared" si="143"/>
        <v>-3,51038928577637+13,4517529825563i</v>
      </c>
      <c r="BD129">
        <f t="shared" si="144"/>
        <v>22.86170044653327</v>
      </c>
      <c r="BE129" s="43">
        <f t="shared" si="145"/>
        <v>104.6258043297384</v>
      </c>
      <c r="BF129" s="41" t="str">
        <f t="shared" si="146"/>
        <v>174,410925072878+103,09343495652i</v>
      </c>
      <c r="BG129" s="20">
        <f t="shared" si="147"/>
        <v>46.132859403986757</v>
      </c>
      <c r="BH129" s="43">
        <f t="shared" si="148"/>
        <v>30.587123529616477</v>
      </c>
      <c r="BI129" s="41" t="str">
        <f t="shared" si="152"/>
        <v>549,984238827014+328,910387271772i</v>
      </c>
      <c r="BJ129" s="20">
        <f t="shared" si="149"/>
        <v>56.134873794323127</v>
      </c>
      <c r="BK129" s="43">
        <f t="shared" si="153"/>
        <v>30.880943987013662</v>
      </c>
      <c r="BL129">
        <f t="shared" si="150"/>
        <v>46.132859403986757</v>
      </c>
      <c r="BM129" s="43">
        <f t="shared" si="151"/>
        <v>30.587123529616477</v>
      </c>
    </row>
    <row r="130" spans="14:65" x14ac:dyDescent="0.25">
      <c r="N130" s="9">
        <v>12</v>
      </c>
      <c r="O130" s="34">
        <f t="shared" si="154"/>
        <v>131.82567385564084</v>
      </c>
      <c r="P130" s="33" t="str">
        <f t="shared" si="103"/>
        <v>54,631621870174</v>
      </c>
      <c r="Q130" s="4" t="str">
        <f t="shared" si="104"/>
        <v>1+3,69738215419325i</v>
      </c>
      <c r="R130" s="4">
        <f t="shared" si="117"/>
        <v>3.8302264677361726</v>
      </c>
      <c r="S130" s="4">
        <f t="shared" si="118"/>
        <v>1.3066542796139697</v>
      </c>
      <c r="T130" s="4" t="str">
        <f t="shared" si="105"/>
        <v>1+0,0125236712726316i</v>
      </c>
      <c r="U130" s="4">
        <f t="shared" si="119"/>
        <v>1.0000784180963735</v>
      </c>
      <c r="V130" s="4">
        <f t="shared" si="120"/>
        <v>1.2523016586928408E-2</v>
      </c>
      <c r="W130" t="str">
        <f t="shared" si="106"/>
        <v>1-0,00329602721903675i</v>
      </c>
      <c r="X130" s="4">
        <f t="shared" si="121"/>
        <v>1.0000054318829616</v>
      </c>
      <c r="Y130" s="4">
        <f t="shared" si="122"/>
        <v>-3.296015283326072E-3</v>
      </c>
      <c r="Z130" t="str">
        <f t="shared" si="107"/>
        <v>0,999999930487967+0,000452847481487013i</v>
      </c>
      <c r="AA130" s="4">
        <f t="shared" si="123"/>
        <v>1.0000000330233896</v>
      </c>
      <c r="AB130" s="4">
        <f t="shared" si="124"/>
        <v>4.528474820100903E-4</v>
      </c>
      <c r="AC130" s="47" t="str">
        <f t="shared" si="125"/>
        <v>3,84486089001325-13,7365397596976i</v>
      </c>
      <c r="AD130" s="20">
        <f t="shared" si="126"/>
        <v>23.085120813022652</v>
      </c>
      <c r="AE130" s="43">
        <f t="shared" si="127"/>
        <v>-74.363053521811636</v>
      </c>
      <c r="AF130" t="str">
        <f t="shared" si="108"/>
        <v>171,265703090588</v>
      </c>
      <c r="AG130" t="str">
        <f t="shared" si="109"/>
        <v>1+3,6619981425085i</v>
      </c>
      <c r="AH130">
        <f t="shared" si="128"/>
        <v>3.7960809258675856</v>
      </c>
      <c r="AI130">
        <f t="shared" si="129"/>
        <v>1.3042206886555381</v>
      </c>
      <c r="AJ130" t="str">
        <f t="shared" si="110"/>
        <v>1+0,0125236712726316i</v>
      </c>
      <c r="AK130">
        <f t="shared" si="130"/>
        <v>1.0000784180963735</v>
      </c>
      <c r="AL130">
        <f t="shared" si="131"/>
        <v>1.2523016586928408E-2</v>
      </c>
      <c r="AM130" t="str">
        <f t="shared" si="111"/>
        <v>1-0,00104132886062905i</v>
      </c>
      <c r="AN130">
        <f t="shared" si="132"/>
        <v>1.0000005421827511</v>
      </c>
      <c r="AO130">
        <f t="shared" si="133"/>
        <v>-1.0413284842354952E-3</v>
      </c>
      <c r="AP130" s="41" t="str">
        <f t="shared" si="134"/>
        <v>12,3849075423266-43,3869769688212i</v>
      </c>
      <c r="AQ130">
        <f t="shared" si="135"/>
        <v>33.087384604117432</v>
      </c>
      <c r="AR130" s="43">
        <f t="shared" si="136"/>
        <v>-74.068488743638284</v>
      </c>
      <c r="AS130" t="str">
        <f t="shared" si="112"/>
        <v>-0,0000166666666666667</v>
      </c>
      <c r="AT130" t="str">
        <f t="shared" si="113"/>
        <v>1,26976111514182E-06i</v>
      </c>
      <c r="AU130">
        <f t="shared" si="137"/>
        <v>1.26976111514182E-6</v>
      </c>
      <c r="AV130">
        <f t="shared" si="138"/>
        <v>1.5707963267948966</v>
      </c>
      <c r="AW130" t="str">
        <f t="shared" si="114"/>
        <v>1+0,00588390420273206i</v>
      </c>
      <c r="AX130">
        <f t="shared" si="139"/>
        <v>1.0000173100145151</v>
      </c>
      <c r="AY130">
        <f t="shared" si="140"/>
        <v>5.8838363032433618E-3</v>
      </c>
      <c r="AZ130" t="str">
        <f t="shared" si="115"/>
        <v>1+0,273334095236008i</v>
      </c>
      <c r="BA130">
        <f t="shared" si="141"/>
        <v>1.0366829445970871</v>
      </c>
      <c r="BB130">
        <f t="shared" si="142"/>
        <v>0.26681677382061264</v>
      </c>
      <c r="BC130" s="41" t="str">
        <f t="shared" si="143"/>
        <v>-3,51038381617732+13,1464832883512i</v>
      </c>
      <c r="BD130">
        <f t="shared" si="144"/>
        <v>22.675303249010199</v>
      </c>
      <c r="BE130" s="43">
        <f t="shared" si="145"/>
        <v>104.95035605569603</v>
      </c>
      <c r="BF130" s="41" t="str">
        <f t="shared" si="146"/>
        <v>167,090252946881+98,7669262993131i</v>
      </c>
      <c r="BG130" s="20">
        <f t="shared" si="147"/>
        <v>45.760424062032861</v>
      </c>
      <c r="BH130" s="43">
        <f t="shared" si="148"/>
        <v>30.587302533884358</v>
      </c>
      <c r="BI130" s="41" t="str">
        <f t="shared" si="152"/>
        <v>526,910388651251+315,122921817179i</v>
      </c>
      <c r="BJ130" s="20">
        <f t="shared" si="149"/>
        <v>55.76268785312763</v>
      </c>
      <c r="BK130" s="43">
        <f t="shared" si="153"/>
        <v>30.881867312057704</v>
      </c>
      <c r="BL130">
        <f t="shared" si="150"/>
        <v>45.760424062032861</v>
      </c>
      <c r="BM130" s="43">
        <f t="shared" si="151"/>
        <v>30.587302533884358</v>
      </c>
    </row>
    <row r="131" spans="14:65" x14ac:dyDescent="0.25">
      <c r="N131" s="9">
        <v>13</v>
      </c>
      <c r="O131" s="34">
        <f t="shared" si="154"/>
        <v>134.89628825916537</v>
      </c>
      <c r="P131" s="33" t="str">
        <f t="shared" si="103"/>
        <v>54,631621870174</v>
      </c>
      <c r="Q131" s="4" t="str">
        <f t="shared" si="104"/>
        <v>1+3,78350524816987i</v>
      </c>
      <c r="R131" s="4">
        <f t="shared" si="117"/>
        <v>3.9134271378075955</v>
      </c>
      <c r="S131" s="4">
        <f t="shared" si="118"/>
        <v>1.3123999447033439</v>
      </c>
      <c r="T131" s="4" t="str">
        <f t="shared" si="105"/>
        <v>1+0,0128153850509117i</v>
      </c>
      <c r="U131" s="4">
        <f t="shared" si="119"/>
        <v>1.0000821136756737</v>
      </c>
      <c r="V131" s="4">
        <f t="shared" si="120"/>
        <v>1.2814683545652673E-2</v>
      </c>
      <c r="W131" t="str">
        <f t="shared" si="106"/>
        <v>1-0,00337280155560692i</v>
      </c>
      <c r="X131" s="4">
        <f t="shared" si="121"/>
        <v>1.0000056878789907</v>
      </c>
      <c r="Y131" s="4">
        <f t="shared" si="122"/>
        <v>-3.3727887662664355E-3</v>
      </c>
      <c r="Z131" t="str">
        <f t="shared" si="107"/>
        <v>0,999999927211966+0,000463395654377649i</v>
      </c>
      <c r="AA131" s="4">
        <f t="shared" si="123"/>
        <v>1.0000000345797344</v>
      </c>
      <c r="AB131" s="4">
        <f t="shared" si="124"/>
        <v>4.6339565493813624E-4</v>
      </c>
      <c r="AC131" s="47" t="str">
        <f t="shared" si="125"/>
        <v>3,68857487873746-13,4651959828735i</v>
      </c>
      <c r="AD131" s="20">
        <f t="shared" si="126"/>
        <v>22.898499134056351</v>
      </c>
      <c r="AE131" s="43">
        <f t="shared" si="127"/>
        <v>-74.680547758511494</v>
      </c>
      <c r="AF131" t="str">
        <f t="shared" si="108"/>
        <v>171,265703090588</v>
      </c>
      <c r="AG131" t="str">
        <f t="shared" si="109"/>
        <v>1+3,74729703697409i</v>
      </c>
      <c r="AH131">
        <f t="shared" si="128"/>
        <v>3.8784320392801512</v>
      </c>
      <c r="AI131">
        <f t="shared" si="129"/>
        <v>1.3100143643823199</v>
      </c>
      <c r="AJ131" t="str">
        <f t="shared" si="110"/>
        <v>1+0,0128153850509117i</v>
      </c>
      <c r="AK131">
        <f t="shared" si="130"/>
        <v>1.0000821136756737</v>
      </c>
      <c r="AL131">
        <f t="shared" si="131"/>
        <v>1.2814683545652673E-2</v>
      </c>
      <c r="AM131" t="str">
        <f t="shared" si="111"/>
        <v>1-0,00106558452574141i</v>
      </c>
      <c r="AN131">
        <f t="shared" si="132"/>
        <v>1.0000005677350297</v>
      </c>
      <c r="AO131">
        <f t="shared" si="133"/>
        <v>-1.0655841224284622E-3</v>
      </c>
      <c r="AP131" s="41" t="str">
        <f t="shared" si="134"/>
        <v>11,887121065391-42,5322356983744i</v>
      </c>
      <c r="AQ131">
        <f t="shared" si="135"/>
        <v>32.901002451641276</v>
      </c>
      <c r="AR131" s="43">
        <f t="shared" si="136"/>
        <v>-74.385120370589703</v>
      </c>
      <c r="AS131" t="str">
        <f t="shared" si="112"/>
        <v>-0,0000166666666666667</v>
      </c>
      <c r="AT131" t="str">
        <f t="shared" si="113"/>
        <v>1,29933765099522E-06i</v>
      </c>
      <c r="AU131">
        <f t="shared" si="137"/>
        <v>1.2993376509952201E-6</v>
      </c>
      <c r="AV131">
        <f t="shared" si="138"/>
        <v>1.5707963267948966</v>
      </c>
      <c r="AW131" t="str">
        <f t="shared" si="114"/>
        <v>1+0,00602095793790699i</v>
      </c>
      <c r="AX131">
        <f t="shared" si="139"/>
        <v>1.0000181258029728</v>
      </c>
      <c r="AY131">
        <f t="shared" si="140"/>
        <v>6.0208851823652567E-3</v>
      </c>
      <c r="AZ131" t="str">
        <f t="shared" si="115"/>
        <v>1+0,279700864206407i</v>
      </c>
      <c r="BA131">
        <f t="shared" si="141"/>
        <v>1.0383797828529844</v>
      </c>
      <c r="BB131">
        <f t="shared" si="142"/>
        <v>0.27273129301508736</v>
      </c>
      <c r="BC131" s="41" t="str">
        <f t="shared" si="143"/>
        <v>-3,51037808882227+12,8481840305657i</v>
      </c>
      <c r="BD131">
        <f t="shared" si="144"/>
        <v>22.489501568178859</v>
      </c>
      <c r="BE131" s="43">
        <f t="shared" si="145"/>
        <v>105.2813807210279</v>
      </c>
      <c r="BF131" s="41" t="str">
        <f t="shared" si="146"/>
        <v>160,055023562292+94,6594177925172i</v>
      </c>
      <c r="BG131" s="20">
        <f t="shared" si="147"/>
        <v>45.388000702235196</v>
      </c>
      <c r="BH131" s="43">
        <f t="shared" si="148"/>
        <v>30.600832962516485</v>
      </c>
      <c r="BI131" s="41" t="str">
        <f t="shared" si="152"/>
        <v>504,733702156984+302,032147305956i</v>
      </c>
      <c r="BJ131" s="20">
        <f t="shared" si="149"/>
        <v>55.390504019820142</v>
      </c>
      <c r="BK131" s="43">
        <f t="shared" si="153"/>
        <v>30.896260350438247</v>
      </c>
      <c r="BL131">
        <f t="shared" si="150"/>
        <v>45.388000702235196</v>
      </c>
      <c r="BM131" s="43">
        <f t="shared" si="151"/>
        <v>30.600832962516485</v>
      </c>
    </row>
    <row r="132" spans="14:65" x14ac:dyDescent="0.25">
      <c r="N132" s="9">
        <v>14</v>
      </c>
      <c r="O132" s="34">
        <f t="shared" si="154"/>
        <v>138.0384264602886</v>
      </c>
      <c r="P132" s="33" t="str">
        <f t="shared" si="103"/>
        <v>54,631621870174</v>
      </c>
      <c r="Q132" s="4" t="str">
        <f t="shared" si="104"/>
        <v>1+3,87163440670969i</v>
      </c>
      <c r="R132" s="4">
        <f t="shared" si="117"/>
        <v>3.9986939091681295</v>
      </c>
      <c r="S132" s="4">
        <f t="shared" si="118"/>
        <v>1.3180317353964073</v>
      </c>
      <c r="T132" s="4" t="str">
        <f t="shared" si="105"/>
        <v>1+0,0131138937159775i</v>
      </c>
      <c r="U132" s="4">
        <f t="shared" si="119"/>
        <v>1.0000859834076237</v>
      </c>
      <c r="V132" s="4">
        <f t="shared" si="120"/>
        <v>1.3113142043040068E-2</v>
      </c>
      <c r="W132" t="str">
        <f t="shared" si="106"/>
        <v>1-0,00345136419620619i</v>
      </c>
      <c r="X132" s="4">
        <f t="shared" si="121"/>
        <v>1.0000059559396708</v>
      </c>
      <c r="Y132" s="4">
        <f t="shared" si="122"/>
        <v>-3.4513504921853677E-3</v>
      </c>
      <c r="Z132" t="str">
        <f t="shared" si="107"/>
        <v>0,999999923781571+0,000474189525778002i</v>
      </c>
      <c r="AA132" s="4">
        <f t="shared" si="123"/>
        <v>1.0000000362094266</v>
      </c>
      <c r="AB132" s="4">
        <f t="shared" si="124"/>
        <v>4.7418952637857519E-4</v>
      </c>
      <c r="AC132" s="47" t="str">
        <f t="shared" si="125"/>
        <v>3,53842233483633-13,1975049899577i</v>
      </c>
      <c r="AD132" s="20">
        <f t="shared" si="126"/>
        <v>22.711316880530173</v>
      </c>
      <c r="AE132" s="43">
        <f t="shared" si="127"/>
        <v>-74.991244882669562</v>
      </c>
      <c r="AF132" t="str">
        <f t="shared" si="108"/>
        <v>171,265703090588</v>
      </c>
      <c r="AG132" t="str">
        <f t="shared" si="109"/>
        <v>1+3,83458279793002i</v>
      </c>
      <c r="AH132">
        <f t="shared" si="128"/>
        <v>3.9628304574105644</v>
      </c>
      <c r="AI132">
        <f t="shared" si="129"/>
        <v>1.31569352378895</v>
      </c>
      <c r="AJ132" t="str">
        <f t="shared" si="110"/>
        <v>1+0,0131138937159775i</v>
      </c>
      <c r="AK132">
        <f t="shared" si="130"/>
        <v>1.0000859834076237</v>
      </c>
      <c r="AL132">
        <f t="shared" si="131"/>
        <v>1.3113142043040068E-2</v>
      </c>
      <c r="AM132" t="str">
        <f t="shared" si="111"/>
        <v>1-0,00109040517787399i</v>
      </c>
      <c r="AN132">
        <f t="shared" si="132"/>
        <v>1.0000005944915493</v>
      </c>
      <c r="AO132">
        <f t="shared" si="133"/>
        <v>-1.0904047457163943E-3</v>
      </c>
      <c r="AP132" s="41" t="str">
        <f t="shared" si="134"/>
        <v>11,4088181430988-41,6888465781585i</v>
      </c>
      <c r="AQ132">
        <f t="shared" si="135"/>
        <v>32.714050165285961</v>
      </c>
      <c r="AR132" s="43">
        <f t="shared" si="136"/>
        <v>-74.694833940470801</v>
      </c>
      <c r="AS132" t="str">
        <f t="shared" si="112"/>
        <v>-0,0000166666666666667</v>
      </c>
      <c r="AT132" t="str">
        <f t="shared" si="113"/>
        <v>1,32960311286994E-06i</v>
      </c>
      <c r="AU132">
        <f t="shared" si="137"/>
        <v>1.3296031128699399E-6</v>
      </c>
      <c r="AV132">
        <f t="shared" si="138"/>
        <v>1.5707963267948966</v>
      </c>
      <c r="AW132" t="str">
        <f t="shared" si="114"/>
        <v>1+0,0061612040646774i</v>
      </c>
      <c r="AX132">
        <f t="shared" si="139"/>
        <v>1.0000189800376424</v>
      </c>
      <c r="AY132">
        <f t="shared" si="140"/>
        <v>6.1611261057897826E-3</v>
      </c>
      <c r="AZ132" t="str">
        <f t="shared" si="115"/>
        <v>1+0,286215934277287i</v>
      </c>
      <c r="BA132">
        <f t="shared" si="141"/>
        <v>1.0401536237663263</v>
      </c>
      <c r="BB132">
        <f t="shared" si="142"/>
        <v>0.27876338581708582</v>
      </c>
      <c r="BC132" s="41" t="str">
        <f t="shared" si="143"/>
        <v>-3,51037209156534+12,556697046768i</v>
      </c>
      <c r="BD132">
        <f t="shared" si="144"/>
        <v>22.304319399929465</v>
      </c>
      <c r="BE132" s="43">
        <f t="shared" si="145"/>
        <v>105.6189589671864</v>
      </c>
      <c r="BF132" s="41" t="str">
        <f t="shared" si="146"/>
        <v>153,295892919727+90,7590504770991i</v>
      </c>
      <c r="BG132" s="20">
        <f t="shared" si="147"/>
        <v>45.015636280459645</v>
      </c>
      <c r="BH132" s="43">
        <f t="shared" si="148"/>
        <v>30.627714084516818</v>
      </c>
      <c r="BI132" s="41" t="str">
        <f t="shared" si="152"/>
        <v>483,425019903849+289,600436642079i</v>
      </c>
      <c r="BJ132" s="20">
        <f t="shared" si="149"/>
        <v>55.01836956521543</v>
      </c>
      <c r="BK132" s="43">
        <f t="shared" si="153"/>
        <v>30.924125026715625</v>
      </c>
      <c r="BL132">
        <f t="shared" si="150"/>
        <v>45.015636280459645</v>
      </c>
      <c r="BM132" s="43">
        <f t="shared" si="151"/>
        <v>30.627714084516818</v>
      </c>
    </row>
    <row r="133" spans="14:65" x14ac:dyDescent="0.25">
      <c r="N133" s="9">
        <v>15</v>
      </c>
      <c r="O133" s="34">
        <f t="shared" si="154"/>
        <v>141.25375446227542</v>
      </c>
      <c r="P133" s="33" t="str">
        <f t="shared" si="103"/>
        <v>54,631621870174</v>
      </c>
      <c r="Q133" s="4" t="str">
        <f t="shared" si="104"/>
        <v>1+3,96181635705908i</v>
      </c>
      <c r="R133" s="4">
        <f t="shared" si="117"/>
        <v>4.0860725454965774</v>
      </c>
      <c r="S133" s="4">
        <f t="shared" si="118"/>
        <v>1.3235512081579257</v>
      </c>
      <c r="T133" s="4" t="str">
        <f t="shared" si="105"/>
        <v>1+0,0134193555410744i</v>
      </c>
      <c r="U133" s="4">
        <f t="shared" si="119"/>
        <v>1.0000900354983733</v>
      </c>
      <c r="V133" s="4">
        <f t="shared" si="120"/>
        <v>1.3418550112926902E-2</v>
      </c>
      <c r="W133" t="str">
        <f t="shared" si="106"/>
        <v>1-0,00353175679578649i</v>
      </c>
      <c r="X133" s="4">
        <f t="shared" si="121"/>
        <v>1.0000062366335845</v>
      </c>
      <c r="Y133" s="4">
        <f t="shared" si="122"/>
        <v>-3.5317421116685659E-3</v>
      </c>
      <c r="Z133" t="str">
        <f t="shared" si="107"/>
        <v>0,999999920189507+0,000485234818741564i</v>
      </c>
      <c r="AA133" s="4">
        <f t="shared" si="123"/>
        <v>1.0000000379159242</v>
      </c>
      <c r="AB133" s="4">
        <f t="shared" si="124"/>
        <v>4.852348193850898E-4</v>
      </c>
      <c r="AC133" s="47" t="str">
        <f t="shared" si="125"/>
        <v>3,39419915823329-12,9335286919205i</v>
      </c>
      <c r="AD133" s="20">
        <f t="shared" si="126"/>
        <v>22.523596260422586</v>
      </c>
      <c r="AE133" s="43">
        <f t="shared" si="127"/>
        <v>-75.295227732785477</v>
      </c>
      <c r="AF133" t="str">
        <f t="shared" si="108"/>
        <v>171,265703090588</v>
      </c>
      <c r="AG133" t="str">
        <f t="shared" si="109"/>
        <v>1+3,92390170544211i</v>
      </c>
      <c r="AH133">
        <f t="shared" si="128"/>
        <v>4.0493214979761118</v>
      </c>
      <c r="AI133">
        <f t="shared" si="129"/>
        <v>1.3212597120828757</v>
      </c>
      <c r="AJ133" t="str">
        <f t="shared" si="110"/>
        <v>1+0,0134193555410744i</v>
      </c>
      <c r="AK133">
        <f t="shared" si="130"/>
        <v>1.0000900354983733</v>
      </c>
      <c r="AL133">
        <f t="shared" si="131"/>
        <v>1.3418550112926902E-2</v>
      </c>
      <c r="AM133" t="str">
        <f t="shared" si="111"/>
        <v>1-0,00111580397726511i</v>
      </c>
      <c r="AN133">
        <f t="shared" si="132"/>
        <v>1.0000006225090641</v>
      </c>
      <c r="AO133">
        <f t="shared" si="133"/>
        <v>-1.1158035141999188E-3</v>
      </c>
      <c r="AP133" s="41" t="str">
        <f t="shared" si="134"/>
        <v>10,9493547795108-40,857015483726i</v>
      </c>
      <c r="AQ133">
        <f t="shared" si="135"/>
        <v>32.526550262541619</v>
      </c>
      <c r="AR133" s="43">
        <f t="shared" si="136"/>
        <v>-74.997709686493096</v>
      </c>
      <c r="AS133" t="str">
        <f t="shared" si="112"/>
        <v>-0,0000166666666666667</v>
      </c>
      <c r="AT133" t="str">
        <f t="shared" si="113"/>
        <v>1,36057354791449E-06i</v>
      </c>
      <c r="AU133">
        <f t="shared" si="137"/>
        <v>1.36057354791449E-6</v>
      </c>
      <c r="AV133">
        <f t="shared" si="138"/>
        <v>1.5707963267948966</v>
      </c>
      <c r="AW133" t="str">
        <f t="shared" si="114"/>
        <v>1+0,00630471694339608i</v>
      </c>
      <c r="AX133">
        <f t="shared" si="139"/>
        <v>1.0000198745303697</v>
      </c>
      <c r="AY133">
        <f t="shared" si="140"/>
        <v>6.3046334090326476E-3</v>
      </c>
      <c r="AZ133" t="str">
        <f t="shared" si="115"/>
        <v>1+0,292882759825036i</v>
      </c>
      <c r="BA133">
        <f t="shared" si="141"/>
        <v>1.0420078267473474</v>
      </c>
      <c r="BB133">
        <f t="shared" si="142"/>
        <v>0.28491449395622487</v>
      </c>
      <c r="BC133" s="41" t="str">
        <f t="shared" si="143"/>
        <v>-3,51036581168832+12,2718677864683i</v>
      </c>
      <c r="BD133">
        <f t="shared" si="144"/>
        <v>22.119781522936108</v>
      </c>
      <c r="BE133" s="43">
        <f t="shared" si="145"/>
        <v>105.9631691400825</v>
      </c>
      <c r="BF133" s="41" t="str">
        <f t="shared" si="146"/>
        <v>146,803673436619+87,0545802553886i</v>
      </c>
      <c r="BG133" s="20">
        <f t="shared" si="147"/>
        <v>44.64337778335868</v>
      </c>
      <c r="BH133" s="43">
        <f t="shared" si="148"/>
        <v>30.667941407297064</v>
      </c>
      <c r="BI133" s="41" t="str">
        <f t="shared" si="152"/>
        <v>462,955651487933+277,792104522983i</v>
      </c>
      <c r="BJ133" s="20">
        <f t="shared" si="149"/>
        <v>54.64633178547772</v>
      </c>
      <c r="BK133" s="43">
        <f t="shared" si="153"/>
        <v>30.965459453589379</v>
      </c>
      <c r="BL133">
        <f t="shared" si="150"/>
        <v>44.64337778335868</v>
      </c>
      <c r="BM133" s="43">
        <f t="shared" si="151"/>
        <v>30.667941407297064</v>
      </c>
    </row>
    <row r="134" spans="14:65" x14ac:dyDescent="0.25">
      <c r="N134" s="9">
        <v>16</v>
      </c>
      <c r="O134" s="34">
        <f t="shared" si="154"/>
        <v>144.54397707459285</v>
      </c>
      <c r="P134" s="33" t="str">
        <f t="shared" si="103"/>
        <v>54,631621870174</v>
      </c>
      <c r="Q134" s="4" t="str">
        <f t="shared" si="104"/>
        <v>1+4,05409891488182i</v>
      </c>
      <c r="R134" s="4">
        <f t="shared" si="117"/>
        <v>4.1756098969666633</v>
      </c>
      <c r="S134" s="4">
        <f t="shared" si="118"/>
        <v>1.3289599437303272</v>
      </c>
      <c r="T134" s="4" t="str">
        <f t="shared" si="105"/>
        <v>1+0,0137319324861053i</v>
      </c>
      <c r="U134" s="4">
        <f t="shared" si="119"/>
        <v>1.0000942785406799</v>
      </c>
      <c r="V134" s="4">
        <f t="shared" si="120"/>
        <v>1.3731069458690254E-2</v>
      </c>
      <c r="W134" t="str">
        <f t="shared" si="106"/>
        <v>1-0,00361402197956825i</v>
      </c>
      <c r="X134" s="4">
        <f t="shared" si="121"/>
        <v>1.0000065305561103</v>
      </c>
      <c r="Y134" s="4">
        <f t="shared" si="122"/>
        <v>-3.6140062452579636E-3</v>
      </c>
      <c r="Z134" t="str">
        <f t="shared" si="107"/>
        <v>0,999999916428155+0,000496537389628864i</v>
      </c>
      <c r="AA134" s="4">
        <f t="shared" si="123"/>
        <v>1.0000000397028475</v>
      </c>
      <c r="AB134" s="4">
        <f t="shared" si="124"/>
        <v>4.96537390318414E-4</v>
      </c>
      <c r="AC134" s="47" t="str">
        <f t="shared" si="125"/>
        <v>3,2557049707054-12,6733202050779i</v>
      </c>
      <c r="AD134" s="20">
        <f t="shared" si="126"/>
        <v>22.33535874309128</v>
      </c>
      <c r="AE134" s="43">
        <f t="shared" si="127"/>
        <v>-75.592580391330017</v>
      </c>
      <c r="AF134" t="str">
        <f t="shared" si="108"/>
        <v>171,265703090588</v>
      </c>
      <c r="AG134" t="str">
        <f t="shared" si="109"/>
        <v>1+4,01530111757742i</v>
      </c>
      <c r="AH134">
        <f t="shared" si="128"/>
        <v>4.1379515541894003</v>
      </c>
      <c r="AI134">
        <f t="shared" si="129"/>
        <v>1.3267145003187939</v>
      </c>
      <c r="AJ134" t="str">
        <f t="shared" si="110"/>
        <v>1+0,0137319324861053i</v>
      </c>
      <c r="AK134">
        <f t="shared" si="130"/>
        <v>1.0000942785406799</v>
      </c>
      <c r="AL134">
        <f t="shared" si="131"/>
        <v>1.3731069458690254E-2</v>
      </c>
      <c r="AM134" t="str">
        <f t="shared" si="111"/>
        <v>1-0,00114179439069438i</v>
      </c>
      <c r="AN134">
        <f t="shared" si="132"/>
        <v>1.0000006518470028</v>
      </c>
      <c r="AO134">
        <f t="shared" si="133"/>
        <v>-1.1417938945111055E-3</v>
      </c>
      <c r="AP134" s="41" t="str">
        <f t="shared" si="134"/>
        <v>10,5080983276813-40,0369201058339i</v>
      </c>
      <c r="AQ134">
        <f t="shared" si="135"/>
        <v>32.338524516440536</v>
      </c>
      <c r="AR134" s="43">
        <f t="shared" si="136"/>
        <v>-75.29382913012013</v>
      </c>
      <c r="AS134" t="str">
        <f t="shared" si="112"/>
        <v>-0,0000166666666666667</v>
      </c>
      <c r="AT134" t="str">
        <f t="shared" si="113"/>
        <v>1,39226537706346E-06i</v>
      </c>
      <c r="AU134">
        <f t="shared" si="137"/>
        <v>1.39226537706346E-6</v>
      </c>
      <c r="AV134">
        <f t="shared" si="138"/>
        <v>1.5707963267948966</v>
      </c>
      <c r="AW134" t="str">
        <f t="shared" si="114"/>
        <v>1+0,00645157266649095i</v>
      </c>
      <c r="AX134">
        <f t="shared" si="139"/>
        <v>1.0000208111783828</v>
      </c>
      <c r="AY134">
        <f t="shared" si="140"/>
        <v>6.4514831579084858E-3</v>
      </c>
      <c r="AZ134" t="str">
        <f t="shared" si="115"/>
        <v>1+0,299704875688807i</v>
      </c>
      <c r="BA134">
        <f t="shared" si="141"/>
        <v>1.043945885815756</v>
      </c>
      <c r="BB134">
        <f t="shared" si="142"/>
        <v>0.29118601624121365</v>
      </c>
      <c r="BC134" s="41" t="str">
        <f t="shared" si="143"/>
        <v>-3,51035923587394+11,9935452291737i</v>
      </c>
      <c r="BD134">
        <f t="shared" si="144"/>
        <v>21.935913507870033</v>
      </c>
      <c r="BE134" s="43">
        <f t="shared" si="145"/>
        <v>106.31408702730147</v>
      </c>
      <c r="BF134" s="41" t="str">
        <f t="shared" si="146"/>
        <v>140,569345070206+83,5353514500839i</v>
      </c>
      <c r="BG134" s="20">
        <f t="shared" si="147"/>
        <v>44.271272250961303</v>
      </c>
      <c r="BH134" s="43">
        <f t="shared" si="148"/>
        <v>30.721506635971505</v>
      </c>
      <c r="BI134" s="41" t="str">
        <f t="shared" si="152"/>
        <v>443,297412110085+266,573324835111i</v>
      </c>
      <c r="BJ134" s="20">
        <f t="shared" si="149"/>
        <v>54.27443802431057</v>
      </c>
      <c r="BK134" s="43">
        <f t="shared" si="153"/>
        <v>31.020257897181331</v>
      </c>
      <c r="BL134">
        <f t="shared" si="150"/>
        <v>44.271272250961303</v>
      </c>
      <c r="BM134" s="43">
        <f t="shared" si="151"/>
        <v>30.721506635971505</v>
      </c>
    </row>
    <row r="135" spans="14:65" x14ac:dyDescent="0.25">
      <c r="N135" s="9">
        <v>17</v>
      </c>
      <c r="O135" s="34">
        <f t="shared" si="154"/>
        <v>147.91083881682084</v>
      </c>
      <c r="P135" s="33" t="str">
        <f t="shared" si="103"/>
        <v>54,631621870174</v>
      </c>
      <c r="Q135" s="4" t="str">
        <f t="shared" si="104"/>
        <v>1+4,14853100961158i</v>
      </c>
      <c r="R135" s="4">
        <f t="shared" si="117"/>
        <v>4.2673539269328105</v>
      </c>
      <c r="S135" s="4">
        <f t="shared" si="118"/>
        <v>1.3342595435194826</v>
      </c>
      <c r="T135" s="4" t="str">
        <f t="shared" si="105"/>
        <v>1+0,014051790283504i</v>
      </c>
      <c r="U135" s="4">
        <f t="shared" si="119"/>
        <v>1.0000987215321153</v>
      </c>
      <c r="V135" s="4">
        <f t="shared" si="120"/>
        <v>1.4050865537897892E-2</v>
      </c>
      <c r="W135" t="str">
        <f t="shared" si="106"/>
        <v>1-0,00369820336564081i</v>
      </c>
      <c r="X135" s="4">
        <f t="shared" si="121"/>
        <v>1.0000068383306855</v>
      </c>
      <c r="Y135" s="4">
        <f t="shared" si="122"/>
        <v>-3.6981865060298096E-3</v>
      </c>
      <c r="Z135" t="str">
        <f t="shared" si="107"/>
        <v>0,999999912489535+0,000508103231212595i</v>
      </c>
      <c r="AA135" s="4">
        <f t="shared" si="123"/>
        <v>1.0000000415739847</v>
      </c>
      <c r="AB135" s="4">
        <f t="shared" si="124"/>
        <v>5.0810323195146117E-4</v>
      </c>
      <c r="AC135" s="47" t="str">
        <f t="shared" si="125"/>
        <v>3,12274332882913-12,4169243295381i</v>
      </c>
      <c r="AD135" s="20">
        <f t="shared" si="126"/>
        <v>22.146625073500651</v>
      </c>
      <c r="AE135" s="43">
        <f t="shared" si="127"/>
        <v>-75.883387974286336</v>
      </c>
      <c r="AF135" t="str">
        <f t="shared" si="108"/>
        <v>171,265703090588</v>
      </c>
      <c r="AG135" t="str">
        <f t="shared" si="109"/>
        <v>1+4,10882949551405i</v>
      </c>
      <c r="AH135">
        <f t="shared" si="128"/>
        <v>4.2287681212388843</v>
      </c>
      <c r="AI135">
        <f t="shared" si="129"/>
        <v>1.3320594816996505</v>
      </c>
      <c r="AJ135" t="str">
        <f t="shared" si="110"/>
        <v>1+0,014051790283504i</v>
      </c>
      <c r="AK135">
        <f t="shared" si="130"/>
        <v>1.0000987215321153</v>
      </c>
      <c r="AL135">
        <f t="shared" si="131"/>
        <v>1.4050865537897892E-2</v>
      </c>
      <c r="AM135" t="str">
        <f t="shared" si="111"/>
        <v>1-0,00116839019862303i</v>
      </c>
      <c r="AN135">
        <f t="shared" si="132"/>
        <v>1.0000006825675951</v>
      </c>
      <c r="AO135">
        <f t="shared" si="133"/>
        <v>-1.1683896669530919E-3</v>
      </c>
      <c r="AP135" s="41" t="str">
        <f t="shared" si="134"/>
        <v>10,0844282005223-39,2287114619652i</v>
      </c>
      <c r="AQ135">
        <f t="shared" si="135"/>
        <v>32.149993969438306</v>
      </c>
      <c r="AR135" s="43">
        <f t="shared" si="136"/>
        <v>-75.583274864689628</v>
      </c>
      <c r="AS135" t="str">
        <f t="shared" si="112"/>
        <v>-0,0000166666666666667</v>
      </c>
      <c r="AT135" t="str">
        <f t="shared" si="113"/>
        <v>1,42469540374416E-06i</v>
      </c>
      <c r="AU135">
        <f t="shared" si="137"/>
        <v>1.42469540374416E-6</v>
      </c>
      <c r="AV135">
        <f t="shared" si="138"/>
        <v>1.5707963267948966</v>
      </c>
      <c r="AW135" t="str">
        <f t="shared" si="114"/>
        <v>1+0,00660184909881025i</v>
      </c>
      <c r="AX135">
        <f t="shared" si="139"/>
        <v>1.0000217919683168</v>
      </c>
      <c r="AY135">
        <f t="shared" si="140"/>
        <v>6.6017531887490348E-3</v>
      </c>
      <c r="AZ135" t="str">
        <f t="shared" si="115"/>
        <v>1+0,306685899044731i</v>
      </c>
      <c r="BA135">
        <f t="shared" si="141"/>
        <v>1.0459714339659927</v>
      </c>
      <c r="BB135">
        <f t="shared" si="142"/>
        <v>0.29757930379913189</v>
      </c>
      <c r="BC135" s="41" t="str">
        <f t="shared" si="143"/>
        <v>-3,51035235017736+11,7215818043132i</v>
      </c>
      <c r="BD135">
        <f t="shared" si="144"/>
        <v>21.752741725124505</v>
      </c>
      <c r="BE135" s="43">
        <f t="shared" si="145"/>
        <v>106.67178558302922</v>
      </c>
      <c r="BF135" s="41" t="str">
        <f t="shared" si="146"/>
        <v>134,584064903292+80,1912708849125i</v>
      </c>
      <c r="BG135" s="20">
        <f t="shared" si="147"/>
        <v>43.899366798625167</v>
      </c>
      <c r="BH135" s="43">
        <f t="shared" si="148"/>
        <v>30.788397608742837</v>
      </c>
      <c r="BI135" s="41" t="str">
        <f t="shared" si="152"/>
        <v>424,422654245326+255,912049577084i</v>
      </c>
      <c r="BJ135" s="20">
        <f t="shared" si="149"/>
        <v>53.902735694562807</v>
      </c>
      <c r="BK135" s="43">
        <f t="shared" si="153"/>
        <v>31.088510718339563</v>
      </c>
      <c r="BL135">
        <f t="shared" si="150"/>
        <v>43.899366798625167</v>
      </c>
      <c r="BM135" s="43">
        <f t="shared" si="151"/>
        <v>30.788397608742837</v>
      </c>
    </row>
    <row r="136" spans="14:65" x14ac:dyDescent="0.25">
      <c r="N136" s="9">
        <v>18</v>
      </c>
      <c r="O136" s="34">
        <f t="shared" si="154"/>
        <v>151.3561248436209</v>
      </c>
      <c r="P136" s="33" t="str">
        <f t="shared" si="103"/>
        <v>54,631621870174</v>
      </c>
      <c r="Q136" s="4" t="str">
        <f t="shared" si="104"/>
        <v>1+4,24516271039493i</v>
      </c>
      <c r="R136" s="4">
        <f t="shared" si="117"/>
        <v>4.3613537391190391</v>
      </c>
      <c r="S136" s="4">
        <f t="shared" si="118"/>
        <v>1.3394516261803935</v>
      </c>
      <c r="T136" s="4" t="str">
        <f t="shared" si="105"/>
        <v>1+0,0143790985261085i</v>
      </c>
      <c r="U136" s="4">
        <f t="shared" si="119"/>
        <v>1.0001033738941307</v>
      </c>
      <c r="V136" s="4">
        <f t="shared" si="120"/>
        <v>1.4378107648870674E-2</v>
      </c>
      <c r="W136" t="str">
        <f t="shared" si="106"/>
        <v>1-0,00378434558808934i</v>
      </c>
      <c r="X136" s="4">
        <f t="shared" si="121"/>
        <v>1.0000071606101277</v>
      </c>
      <c r="Y136" s="4">
        <f t="shared" si="122"/>
        <v>-3.7843275226976613E-3</v>
      </c>
      <c r="Z136" t="str">
        <f t="shared" si="107"/>
        <v>0,999999908365294+0,000519938475855056i</v>
      </c>
      <c r="AA136" s="4">
        <f t="shared" si="123"/>
        <v>1.0000000435333065</v>
      </c>
      <c r="AB136" s="4">
        <f t="shared" si="124"/>
        <v>5.1993847664676541E-4</v>
      </c>
      <c r="AC136" s="47" t="str">
        <f t="shared" si="125"/>
        <v>2,99512190504174-12,1643780168978i</v>
      </c>
      <c r="AD136" s="20">
        <f t="shared" si="126"/>
        <v>21.957415287179082</v>
      </c>
      <c r="AE136" s="43">
        <f t="shared" si="127"/>
        <v>-76.167736432070413</v>
      </c>
      <c r="AF136" t="str">
        <f t="shared" si="108"/>
        <v>171,265703090588</v>
      </c>
      <c r="AG136" t="str">
        <f t="shared" si="109"/>
        <v>1+4,20453642923599i</v>
      </c>
      <c r="AH136">
        <f t="shared" si="128"/>
        <v>4.3218198232657192</v>
      </c>
      <c r="AI136">
        <f t="shared" si="129"/>
        <v>1.337296268079404</v>
      </c>
      <c r="AJ136" t="str">
        <f t="shared" si="110"/>
        <v>1+0,0143790985261085i</v>
      </c>
      <c r="AK136">
        <f t="shared" si="130"/>
        <v>1.0001033738941307</v>
      </c>
      <c r="AL136">
        <f t="shared" si="131"/>
        <v>1.4378107648870674E-2</v>
      </c>
      <c r="AM136" t="str">
        <f t="shared" si="111"/>
        <v>1-0,00119560550250047i</v>
      </c>
      <c r="AN136">
        <f t="shared" si="132"/>
        <v>1.0000007147360035</v>
      </c>
      <c r="AO136">
        <f t="shared" si="133"/>
        <v>-1.1956049328058895E-3</v>
      </c>
      <c r="AP136" s="41" t="str">
        <f t="shared" si="134"/>
        <v>9,67773647883999-38,4325153759507i</v>
      </c>
      <c r="AQ136">
        <f t="shared" si="135"/>
        <v>31.960978948073098</v>
      </c>
      <c r="AR136" s="43">
        <f t="shared" si="136"/>
        <v>-75.866130350495126</v>
      </c>
      <c r="AS136" t="str">
        <f t="shared" si="112"/>
        <v>-0,0000166666666666667</v>
      </c>
      <c r="AT136" t="str">
        <f t="shared" si="113"/>
        <v>0,000001457880822786i</v>
      </c>
      <c r="AU136">
        <f t="shared" si="137"/>
        <v>1.4578808227859999E-6</v>
      </c>
      <c r="AV136">
        <f t="shared" si="138"/>
        <v>1.5707963267948966</v>
      </c>
      <c r="AW136" t="str">
        <f t="shared" si="114"/>
        <v>1+0,00675562591890754i</v>
      </c>
      <c r="AX136">
        <f t="shared" si="139"/>
        <v>1.0000228189804252</v>
      </c>
      <c r="AY136">
        <f t="shared" si="140"/>
        <v>6.7555231495520342E-3</v>
      </c>
      <c r="AZ136" t="str">
        <f t="shared" si="115"/>
        <v>1+0,313829531323796i</v>
      </c>
      <c r="BA136">
        <f t="shared" si="141"/>
        <v>1.0480882475874411</v>
      </c>
      <c r="BB136">
        <f t="shared" si="142"/>
        <v>0.30409565510186914</v>
      </c>
      <c r="BC136" s="41" t="str">
        <f t="shared" si="143"/>
        <v>-3,51034513999686+11,4558333129931i</v>
      </c>
      <c r="BD136">
        <f t="shared" si="144"/>
        <v>21.570293350886637</v>
      </c>
      <c r="BE136" s="43">
        <f t="shared" si="145"/>
        <v>107.03633464073083</v>
      </c>
      <c r="BF136" s="41" t="str">
        <f t="shared" si="146"/>
        <v>128,839175294757+77,0127825489544i</v>
      </c>
      <c r="BG136" s="20">
        <f t="shared" si="147"/>
        <v>43.527708638065697</v>
      </c>
      <c r="BH136" s="43">
        <f t="shared" si="148"/>
        <v>30.868598208660504</v>
      </c>
      <c r="BI136" s="41" t="str">
        <f t="shared" si="152"/>
        <v>406,304294731269+245,777929516487i</v>
      </c>
      <c r="BJ136" s="20">
        <f t="shared" si="149"/>
        <v>53.531272298959735</v>
      </c>
      <c r="BK136" s="43">
        <f t="shared" si="153"/>
        <v>31.170204290235755</v>
      </c>
      <c r="BL136">
        <f t="shared" si="150"/>
        <v>43.527708638065697</v>
      </c>
      <c r="BM136" s="43">
        <f t="shared" si="151"/>
        <v>30.868598208660504</v>
      </c>
    </row>
    <row r="137" spans="14:65" x14ac:dyDescent="0.25">
      <c r="N137" s="9">
        <v>19</v>
      </c>
      <c r="O137" s="34">
        <f t="shared" si="154"/>
        <v>154.8816618912482</v>
      </c>
      <c r="P137" s="33" t="str">
        <f t="shared" si="103"/>
        <v>54,631621870174</v>
      </c>
      <c r="Q137" s="4" t="str">
        <f t="shared" si="104"/>
        <v>1+4,3440452526387i</v>
      </c>
      <c r="R137" s="4">
        <f t="shared" si="117"/>
        <v>4.4576596053279829</v>
      </c>
      <c r="S137" s="4">
        <f t="shared" si="118"/>
        <v>1.344537824397986</v>
      </c>
      <c r="T137" s="4" t="str">
        <f t="shared" si="105"/>
        <v>1+0,0147140307570813i</v>
      </c>
      <c r="U137" s="4">
        <f t="shared" si="119"/>
        <v>1.0001082454920169</v>
      </c>
      <c r="V137" s="4">
        <f t="shared" si="120"/>
        <v>1.4712969019198267E-2</v>
      </c>
      <c r="W137" t="str">
        <f t="shared" si="106"/>
        <v>1-0,00387249432066041i</v>
      </c>
      <c r="X137" s="4">
        <f t="shared" si="121"/>
        <v>1.0000074980780211</v>
      </c>
      <c r="Y137" s="4">
        <f t="shared" si="122"/>
        <v>-3.8724749632523081E-3</v>
      </c>
      <c r="Z137" t="str">
        <f t="shared" si="107"/>
        <v>0,999999904046683+0,000532049398759615i</v>
      </c>
      <c r="AA137" s="4">
        <f t="shared" si="123"/>
        <v>1.0000000455849678</v>
      </c>
      <c r="AB137" s="4">
        <f t="shared" si="124"/>
        <v>5.3204939960794682E-4</v>
      </c>
      <c r="AC137" s="47" t="str">
        <f t="shared" si="125"/>
        <v>2,87265263903968-11,9157108259864i</v>
      </c>
      <c r="AD137" s="20">
        <f t="shared" si="126"/>
        <v>21.767748725794508</v>
      </c>
      <c r="AE137" s="43">
        <f t="shared" si="127"/>
        <v>-76.445712361554058</v>
      </c>
      <c r="AF137" t="str">
        <f t="shared" si="108"/>
        <v>171,265703090588</v>
      </c>
      <c r="AG137" t="str">
        <f t="shared" si="109"/>
        <v>1+4,30247266382634i</v>
      </c>
      <c r="AH137">
        <f t="shared" si="128"/>
        <v>4.4171564408534278</v>
      </c>
      <c r="AI137">
        <f t="shared" si="129"/>
        <v>1.3424264866629521</v>
      </c>
      <c r="AJ137" t="str">
        <f t="shared" si="110"/>
        <v>1+0,0147140307570813i</v>
      </c>
      <c r="AK137">
        <f t="shared" si="130"/>
        <v>1.0001082454920169</v>
      </c>
      <c r="AL137">
        <f t="shared" si="131"/>
        <v>1.4712969019198267E-2</v>
      </c>
      <c r="AM137" t="str">
        <f t="shared" si="111"/>
        <v>1-0,00122345473224104i</v>
      </c>
      <c r="AN137">
        <f t="shared" si="132"/>
        <v>1.0000007484204609</v>
      </c>
      <c r="AO137">
        <f t="shared" si="133"/>
        <v>-1.2234541218023236E-3</v>
      </c>
      <c r="AP137" s="41" t="str">
        <f t="shared" si="134"/>
        <v>9,28742842356556-37,6484339216433i</v>
      </c>
      <c r="AQ137">
        <f t="shared" si="135"/>
        <v>31.771499078289121</v>
      </c>
      <c r="AR137" s="43">
        <f t="shared" si="136"/>
        <v>-76.142479721062614</v>
      </c>
      <c r="AS137" t="str">
        <f t="shared" si="112"/>
        <v>-0,0000166666666666667</v>
      </c>
      <c r="AT137" t="str">
        <f t="shared" si="113"/>
        <v>1,49183922953741E-06i</v>
      </c>
      <c r="AU137">
        <f t="shared" si="137"/>
        <v>1.49183922953741E-6</v>
      </c>
      <c r="AV137">
        <f t="shared" si="138"/>
        <v>1.5707963267948966</v>
      </c>
      <c r="AW137" t="str">
        <f t="shared" si="114"/>
        <v>1+0,00691298466128831i</v>
      </c>
      <c r="AX137">
        <f t="shared" si="139"/>
        <v>1.0000238943929927</v>
      </c>
      <c r="AY137">
        <f t="shared" si="140"/>
        <v>6.9128745420820054E-3</v>
      </c>
      <c r="AZ137" t="str">
        <f t="shared" si="115"/>
        <v>1+0,321139560174394i</v>
      </c>
      <c r="BA137">
        <f t="shared" si="141"/>
        <v>1.0503002509325623</v>
      </c>
      <c r="BB137">
        <f t="shared" si="142"/>
        <v>0.31073631078175712</v>
      </c>
      <c r="BC137" s="41" t="str">
        <f t="shared" si="143"/>
        <v>-3,51033759004277+11,1961588515393i</v>
      </c>
      <c r="BD137">
        <f t="shared" si="144"/>
        <v>21.388596371380451</v>
      </c>
      <c r="BE137" s="43">
        <f t="shared" si="145"/>
        <v>107.40780061369551</v>
      </c>
      <c r="BF137" s="41" t="str">
        <f t="shared" si="146"/>
        <v>123,326210694794+73,9908428965215i</v>
      </c>
      <c r="BG137" s="20">
        <f t="shared" si="147"/>
        <v>43.156345097174977</v>
      </c>
      <c r="BH137" s="43">
        <f t="shared" si="148"/>
        <v>30.962088252141417</v>
      </c>
      <c r="BI137" s="41" t="str">
        <f t="shared" si="152"/>
        <v>388,915837588325+236,142236753927i</v>
      </c>
      <c r="BJ137" s="20">
        <f t="shared" si="149"/>
        <v>53.160095449669569</v>
      </c>
      <c r="BK137" s="43">
        <f t="shared" si="153"/>
        <v>31.265320892632925</v>
      </c>
      <c r="BL137">
        <f t="shared" si="150"/>
        <v>43.156345097174977</v>
      </c>
      <c r="BM137" s="43">
        <f t="shared" si="151"/>
        <v>30.962088252141417</v>
      </c>
    </row>
    <row r="138" spans="14:65" x14ac:dyDescent="0.25">
      <c r="N138" s="9">
        <v>20</v>
      </c>
      <c r="O138" s="34">
        <f t="shared" si="154"/>
        <v>158.48931924611153</v>
      </c>
      <c r="P138" s="33" t="str">
        <f t="shared" si="103"/>
        <v>54,631621870174</v>
      </c>
      <c r="Q138" s="4" t="str">
        <f t="shared" si="104"/>
        <v>1+4,44523106517567i</v>
      </c>
      <c r="R138" s="4">
        <f t="shared" si="117"/>
        <v>4.5563229936872149</v>
      </c>
      <c r="S138" s="4">
        <f t="shared" si="118"/>
        <v>1.3495197818577411</v>
      </c>
      <c r="T138" s="4" t="str">
        <f t="shared" si="105"/>
        <v>1+0,0150567645619248i</v>
      </c>
      <c r="U138" s="4">
        <f t="shared" si="119"/>
        <v>1.0001133466558045</v>
      </c>
      <c r="V138" s="4">
        <f t="shared" si="120"/>
        <v>1.5055626896249646E-2</v>
      </c>
      <c r="W138" t="str">
        <f t="shared" si="106"/>
        <v>1-0,00396269630097882i</v>
      </c>
      <c r="X138" s="4">
        <f t="shared" si="121"/>
        <v>1.0000078514501642</v>
      </c>
      <c r="Y138" s="4">
        <f t="shared" si="122"/>
        <v>-3.9626755591511348E-3</v>
      </c>
      <c r="Z138" t="str">
        <f t="shared" si="107"/>
        <v>0,999999899524543+0,000544442421297903i</v>
      </c>
      <c r="AA138" s="4">
        <f t="shared" si="123"/>
        <v>1.000000047733322</v>
      </c>
      <c r="AB138" s="4">
        <f t="shared" si="124"/>
        <v>5.4444242220690671E-4</v>
      </c>
      <c r="AC138" s="47" t="str">
        <f t="shared" si="125"/>
        <v>2,75515186167882-11,6709453656597i</v>
      </c>
      <c r="AD138" s="20">
        <f t="shared" si="126"/>
        <v>21.577644053242334</v>
      </c>
      <c r="AE138" s="43">
        <f t="shared" si="127"/>
        <v>-76.717402828884701</v>
      </c>
      <c r="AF138" t="str">
        <f t="shared" si="108"/>
        <v>171,265703090588</v>
      </c>
      <c r="AG138" t="str">
        <f t="shared" si="109"/>
        <v>1+4,402690126373i</v>
      </c>
      <c r="AH138">
        <f t="shared" si="128"/>
        <v>4.5148289390476686</v>
      </c>
      <c r="AI138">
        <f t="shared" si="129"/>
        <v>1.3474517768981444</v>
      </c>
      <c r="AJ138" t="str">
        <f t="shared" si="110"/>
        <v>1+0,0150567645619248i</v>
      </c>
      <c r="AK138">
        <f t="shared" si="130"/>
        <v>1.0001133466558045</v>
      </c>
      <c r="AL138">
        <f t="shared" si="131"/>
        <v>1.5055626896249646E-2</v>
      </c>
      <c r="AM138" t="str">
        <f t="shared" si="111"/>
        <v>1-0,00125195265387498i</v>
      </c>
      <c r="AN138">
        <f t="shared" si="132"/>
        <v>1.0000007836924167</v>
      </c>
      <c r="AO138">
        <f t="shared" si="133"/>
        <v>-1.2519519997781382E-3</v>
      </c>
      <c r="AP138" s="41" t="str">
        <f t="shared" si="134"/>
        <v>8,91292289903829-36,8765468272542i</v>
      </c>
      <c r="AQ138">
        <f t="shared" si="135"/>
        <v>31.58157330131516</v>
      </c>
      <c r="AR138" s="43">
        <f t="shared" si="136"/>
        <v>-76.412407600328564</v>
      </c>
      <c r="AS138" t="str">
        <f t="shared" si="112"/>
        <v>-0,0000166666666666667</v>
      </c>
      <c r="AT138" t="str">
        <f t="shared" si="113"/>
        <v>1,52658862919515E-06i</v>
      </c>
      <c r="AU138">
        <f t="shared" si="137"/>
        <v>1.5265886291951499E-6</v>
      </c>
      <c r="AV138">
        <f t="shared" si="138"/>
        <v>1.5707963267948966</v>
      </c>
      <c r="AW138" t="str">
        <f t="shared" si="114"/>
        <v>1+0,00707400875964068i</v>
      </c>
      <c r="AX138">
        <f t="shared" si="139"/>
        <v>1.0000250204869534</v>
      </c>
      <c r="AY138">
        <f t="shared" si="140"/>
        <v>7.073890764944692E-3</v>
      </c>
      <c r="AZ138" t="str">
        <f t="shared" si="115"/>
        <v>1+0,328619861470581i</v>
      </c>
      <c r="BA138">
        <f t="shared" si="141"/>
        <v>1.0526115206252227</v>
      </c>
      <c r="BB138">
        <f t="shared" si="142"/>
        <v>0.31750244823991181</v>
      </c>
      <c r="BC138" s="41" t="str">
        <f t="shared" si="143"/>
        <v>-3,51032968430511+10,9424207367867i</v>
      </c>
      <c r="BD138">
        <f t="shared" si="144"/>
        <v>21.207679585099925</v>
      </c>
      <c r="BE138" s="43">
        <f t="shared" si="145"/>
        <v>107.78624618364995</v>
      </c>
      <c r="BF138" s="41" t="str">
        <f t="shared" si="146"/>
        <v>118,03690322228+71,1168968252092i</v>
      </c>
      <c r="BG138" s="20">
        <f t="shared" si="147"/>
        <v>42.785323638342277</v>
      </c>
      <c r="BH138" s="43">
        <f t="shared" si="148"/>
        <v>31.068843354765182</v>
      </c>
      <c r="BI138" s="41" t="str">
        <f t="shared" si="152"/>
        <v>372,231392877215+226,977789338195i</v>
      </c>
      <c r="BJ138" s="20">
        <f t="shared" si="149"/>
        <v>52.789252886415071</v>
      </c>
      <c r="BK138" s="43">
        <f t="shared" si="153"/>
        <v>31.373838583321355</v>
      </c>
      <c r="BL138">
        <f t="shared" si="150"/>
        <v>42.785323638342277</v>
      </c>
      <c r="BM138" s="43">
        <f t="shared" si="151"/>
        <v>31.068843354765182</v>
      </c>
    </row>
    <row r="139" spans="14:65" x14ac:dyDescent="0.25">
      <c r="N139" s="9">
        <v>21</v>
      </c>
      <c r="O139" s="34">
        <f t="shared" si="154"/>
        <v>162.18100973589304</v>
      </c>
      <c r="P139" s="33" t="str">
        <f t="shared" si="103"/>
        <v>54,631621870174</v>
      </c>
      <c r="Q139" s="4" t="str">
        <f t="shared" si="104"/>
        <v>1+4,54877379806295i</v>
      </c>
      <c r="R139" s="4">
        <f t="shared" si="117"/>
        <v>4.6573965974505578</v>
      </c>
      <c r="S139" s="4">
        <f t="shared" si="118"/>
        <v>1.3543991504005064</v>
      </c>
      <c r="T139" s="4" t="str">
        <f t="shared" si="105"/>
        <v>1+0,0154074816626388i</v>
      </c>
      <c r="U139" s="4">
        <f t="shared" si="119"/>
        <v>1.0001186882021476</v>
      </c>
      <c r="V139" s="4">
        <f t="shared" si="120"/>
        <v>1.5406262639718157E-2</v>
      </c>
      <c r="W139" t="str">
        <f t="shared" si="106"/>
        <v>1-0,00405499935532848i</v>
      </c>
      <c r="X139" s="4">
        <f t="shared" si="121"/>
        <v>1.0000082214760895</v>
      </c>
      <c r="Y139" s="4">
        <f t="shared" si="122"/>
        <v>-4.0549771300695588E-3</v>
      </c>
      <c r="Z139" t="str">
        <f t="shared" si="107"/>
        <v>0,99999989478928+0,000557124114414508i</v>
      </c>
      <c r="AA139" s="4">
        <f t="shared" si="123"/>
        <v>1.0000000499829238</v>
      </c>
      <c r="AB139" s="4">
        <f t="shared" si="124"/>
        <v>5.5712411538852338E-4</v>
      </c>
      <c r="AC139" s="47" t="str">
        <f t="shared" si="125"/>
        <v>2,64244039347482-11,4300977238397i</v>
      </c>
      <c r="AD139" s="20">
        <f t="shared" si="126"/>
        <v>21.38711927215056</v>
      </c>
      <c r="AE139" s="43">
        <f t="shared" si="127"/>
        <v>-76.982895202779261</v>
      </c>
      <c r="AF139" t="str">
        <f t="shared" si="108"/>
        <v>171,265703090588</v>
      </c>
      <c r="AG139" t="str">
        <f t="shared" si="109"/>
        <v>1+4,50524195350115i</v>
      </c>
      <c r="AH139">
        <f t="shared" si="128"/>
        <v>4.6148894959236948</v>
      </c>
      <c r="AI139">
        <f t="shared" si="129"/>
        <v>1.352373787554392</v>
      </c>
      <c r="AJ139" t="str">
        <f t="shared" si="110"/>
        <v>1+0,0154074816626388i</v>
      </c>
      <c r="AK139">
        <f t="shared" si="130"/>
        <v>1.0001186882021476</v>
      </c>
      <c r="AL139">
        <f t="shared" si="131"/>
        <v>1.5406262639718157E-2</v>
      </c>
      <c r="AM139" t="str">
        <f t="shared" si="111"/>
        <v>1-0,00128111437737755i</v>
      </c>
      <c r="AN139">
        <f t="shared" si="132"/>
        <v>1.0000008206266873</v>
      </c>
      <c r="AO139">
        <f t="shared" si="133"/>
        <v>-1.2811136765001876E-3</v>
      </c>
      <c r="AP139" s="41" t="str">
        <f t="shared" si="134"/>
        <v>8,5536527140048-36,1169128375872i</v>
      </c>
      <c r="AQ139">
        <f t="shared" si="135"/>
        <v>31.391219889998979</v>
      </c>
      <c r="AR139" s="43">
        <f t="shared" si="136"/>
        <v>-76.675998930402471</v>
      </c>
      <c r="AS139" t="str">
        <f t="shared" si="112"/>
        <v>-0,0000166666666666667</v>
      </c>
      <c r="AT139" t="str">
        <f t="shared" si="113"/>
        <v>1,56214744635088E-06i</v>
      </c>
      <c r="AU139">
        <f t="shared" si="137"/>
        <v>1.56214744635088E-6</v>
      </c>
      <c r="AV139">
        <f t="shared" si="138"/>
        <v>1.5707963267948966</v>
      </c>
      <c r="AW139" t="str">
        <f t="shared" si="114"/>
        <v>1+0,00723878359107295i</v>
      </c>
      <c r="AX139">
        <f t="shared" si="139"/>
        <v>1.0000261996507283</v>
      </c>
      <c r="AY139">
        <f t="shared" si="140"/>
        <v>7.2386571576571824E-3</v>
      </c>
      <c r="AZ139" t="str">
        <f t="shared" si="115"/>
        <v>1+0,336274401367116i</v>
      </c>
      <c r="BA139">
        <f t="shared" si="141"/>
        <v>1.0550262902007761</v>
      </c>
      <c r="BB139">
        <f t="shared" si="142"/>
        <v>0.32439517605240992</v>
      </c>
      <c r="BC139" s="41" t="str">
        <f t="shared" si="143"/>
        <v>-3,51032140601966+10,6944844330763i</v>
      </c>
      <c r="BD139">
        <f t="shared" si="144"/>
        <v>21.027572602843904</v>
      </c>
      <c r="BE139" s="43">
        <f t="shared" si="145"/>
        <v>108.17172997773051</v>
      </c>
      <c r="BF139" s="41" t="str">
        <f t="shared" si="146"/>
        <v>112,963187098799+68,3828543662396i</v>
      </c>
      <c r="BG139" s="20">
        <f t="shared" si="147"/>
        <v>42.414691874994475</v>
      </c>
      <c r="BH139" s="43">
        <f t="shared" si="148"/>
        <v>31.188834774951232</v>
      </c>
      <c r="BI139" s="41" t="str">
        <f t="shared" si="152"/>
        <v>356,225691890721+218,258878048994i</v>
      </c>
      <c r="BJ139" s="20">
        <f t="shared" si="149"/>
        <v>52.41879249284289</v>
      </c>
      <c r="BK139" s="43">
        <f t="shared" si="153"/>
        <v>31.495731047328036</v>
      </c>
      <c r="BL139">
        <f t="shared" si="150"/>
        <v>42.414691874994475</v>
      </c>
      <c r="BM139" s="43">
        <f t="shared" si="151"/>
        <v>31.188834774951232</v>
      </c>
    </row>
    <row r="140" spans="14:65" x14ac:dyDescent="0.25">
      <c r="N140" s="9">
        <v>22</v>
      </c>
      <c r="O140" s="34">
        <f t="shared" si="154"/>
        <v>165.95869074375622</v>
      </c>
      <c r="P140" s="33" t="str">
        <f t="shared" si="103"/>
        <v>54,631621870174</v>
      </c>
      <c r="Q140" s="4" t="str">
        <f t="shared" si="104"/>
        <v>1+4,65472835102815i</v>
      </c>
      <c r="R140" s="4">
        <f t="shared" si="117"/>
        <v>4.760934364372738</v>
      </c>
      <c r="S140" s="4">
        <f t="shared" si="118"/>
        <v>1.3591775873555625</v>
      </c>
      <c r="T140" s="4" t="str">
        <f t="shared" si="105"/>
        <v>1+0,0157663680140726i</v>
      </c>
      <c r="U140" s="4">
        <f t="shared" si="119"/>
        <v>1.0001242814572373</v>
      </c>
      <c r="V140" s="4">
        <f t="shared" si="120"/>
        <v>1.5765061816246009E-2</v>
      </c>
      <c r="W140" t="str">
        <f t="shared" si="106"/>
        <v>1-0,00414945242401062i</v>
      </c>
      <c r="X140" s="4">
        <f t="shared" si="121"/>
        <v>1.0000086089406526</v>
      </c>
      <c r="Y140" s="4">
        <f t="shared" si="122"/>
        <v>-4.1494286092276945E-3</v>
      </c>
      <c r="Z140" t="str">
        <f t="shared" si="107"/>
        <v>0,999999889830852+0,00057010120211099i</v>
      </c>
      <c r="AA140" s="4">
        <f t="shared" si="123"/>
        <v>1.0000000523385471</v>
      </c>
      <c r="AB140" s="4">
        <f t="shared" si="124"/>
        <v>5.7010120315466588E-4</v>
      </c>
      <c r="AC140" s="47" t="str">
        <f t="shared" si="125"/>
        <v>2,53434361972654-11,1931778821658i</v>
      </c>
      <c r="AD140" s="20">
        <f t="shared" si="126"/>
        <v>21.196191740712138</v>
      </c>
      <c r="AE140" s="43">
        <f t="shared" si="127"/>
        <v>-77.242276997949446</v>
      </c>
      <c r="AF140" t="str">
        <f t="shared" si="108"/>
        <v>171,265703090588</v>
      </c>
      <c r="AG140" t="str">
        <f t="shared" si="109"/>
        <v>1+4,61018251954699i</v>
      </c>
      <c r="AH140">
        <f t="shared" si="128"/>
        <v>4.7173915317192652</v>
      </c>
      <c r="AI140">
        <f t="shared" si="129"/>
        <v>1.3571941739820239</v>
      </c>
      <c r="AJ140" t="str">
        <f t="shared" si="110"/>
        <v>1+0,0157663680140726i</v>
      </c>
      <c r="AK140">
        <f t="shared" si="130"/>
        <v>1.0001242814572373</v>
      </c>
      <c r="AL140">
        <f t="shared" si="131"/>
        <v>1.5765061816246009E-2</v>
      </c>
      <c r="AM140" t="str">
        <f t="shared" si="111"/>
        <v>1-0,00131095536468058i</v>
      </c>
      <c r="AN140">
        <f t="shared" si="132"/>
        <v>1.000000859301615</v>
      </c>
      <c r="AO140">
        <f t="shared" si="133"/>
        <v>-1.3109546136769903E-3</v>
      </c>
      <c r="AP140" s="41" t="str">
        <f t="shared" si="134"/>
        <v>8,20906488677302-35,3695710319653i</v>
      </c>
      <c r="AQ140">
        <f t="shared" si="135"/>
        <v>31.200456465504722</v>
      </c>
      <c r="AR140" s="43">
        <f t="shared" si="136"/>
        <v>-76.933338809577094</v>
      </c>
      <c r="AS140" t="str">
        <f t="shared" si="112"/>
        <v>-0,0000166666666666667</v>
      </c>
      <c r="AT140" t="str">
        <f t="shared" si="113"/>
        <v>1,59853453476013E-06i</v>
      </c>
      <c r="AU140">
        <f t="shared" si="137"/>
        <v>1.5985345347601301E-6</v>
      </c>
      <c r="AV140">
        <f t="shared" si="138"/>
        <v>1.5707963267948966</v>
      </c>
      <c r="AW140" t="str">
        <f t="shared" si="114"/>
        <v>1+0,00740739652138189i</v>
      </c>
      <c r="AX140">
        <f t="shared" si="139"/>
        <v>1.0000274343852897</v>
      </c>
      <c r="AY140">
        <f t="shared" si="140"/>
        <v>7.4072610457367972E-3</v>
      </c>
      <c r="AZ140" t="str">
        <f t="shared" si="115"/>
        <v>1+0,344107238402377i</v>
      </c>
      <c r="BA140">
        <f t="shared" si="141"/>
        <v>1.0575489546687238</v>
      </c>
      <c r="BB140">
        <f t="shared" si="142"/>
        <v>0.33141552818119097</v>
      </c>
      <c r="BC140" s="41" t="str">
        <f t="shared" si="143"/>
        <v>-3,51031273763251+10,452218480921i</v>
      </c>
      <c r="BD140">
        <f t="shared" si="144"/>
        <v>20.848305845358507</v>
      </c>
      <c r="BE140" s="43">
        <f t="shared" si="145"/>
        <v>108.5643062342089</v>
      </c>
      <c r="BF140" s="41" t="str">
        <f t="shared" si="146"/>
        <v>108,097202030346+65,781068113463i</v>
      </c>
      <c r="BG140" s="20">
        <f t="shared" si="147"/>
        <v>42.044497586070655</v>
      </c>
      <c r="BH140" s="43">
        <f t="shared" si="148"/>
        <v>31.322029236259393</v>
      </c>
      <c r="BI140" s="41" t="str">
        <f t="shared" si="152"/>
        <v>340,874098966465+209,961195438714i</v>
      </c>
      <c r="BJ140" s="20">
        <f t="shared" si="149"/>
        <v>52.048762310863232</v>
      </c>
      <c r="BK140" s="43">
        <f t="shared" si="153"/>
        <v>31.630967424631759</v>
      </c>
      <c r="BL140">
        <f t="shared" si="150"/>
        <v>42.044497586070655</v>
      </c>
      <c r="BM140" s="43">
        <f t="shared" si="151"/>
        <v>31.322029236259393</v>
      </c>
    </row>
    <row r="141" spans="14:65" x14ac:dyDescent="0.25">
      <c r="N141" s="9">
        <v>23</v>
      </c>
      <c r="O141" s="34">
        <f t="shared" si="154"/>
        <v>169.82436524617444</v>
      </c>
      <c r="P141" s="33" t="str">
        <f t="shared" si="103"/>
        <v>54,631621870174</v>
      </c>
      <c r="Q141" s="4" t="str">
        <f t="shared" si="104"/>
        <v>1+4,76315090257764i</v>
      </c>
      <c r="R141" s="4">
        <f t="shared" si="117"/>
        <v>4.866991526674993</v>
      </c>
      <c r="S141" s="4">
        <f t="shared" si="118"/>
        <v>1.3638567530457166</v>
      </c>
      <c r="T141" s="4" t="str">
        <f t="shared" si="105"/>
        <v>1+0,0161336139025198i</v>
      </c>
      <c r="U141" s="4">
        <f t="shared" si="119"/>
        <v>1.0001301382807917</v>
      </c>
      <c r="V141" s="4">
        <f t="shared" si="120"/>
        <v>1.6132214296168058E-2</v>
      </c>
      <c r="W141" t="str">
        <f t="shared" si="106"/>
        <v>1-0,00424610558729244i</v>
      </c>
      <c r="X141" s="4">
        <f t="shared" si="121"/>
        <v>1.000009014665697</v>
      </c>
      <c r="Y141" s="4">
        <f t="shared" si="122"/>
        <v>-4.2460800693052093E-3</v>
      </c>
      <c r="Z141" t="str">
        <f t="shared" si="107"/>
        <v>0,99999988463874+0,000583380565011007i</v>
      </c>
      <c r="AA141" s="4">
        <f t="shared" si="123"/>
        <v>1.0000000548051871</v>
      </c>
      <c r="AB141" s="4">
        <f t="shared" si="124"/>
        <v>5.8338056612932581E-4</v>
      </c>
      <c r="AC141" s="47" t="str">
        <f t="shared" si="125"/>
        <v>2,43069154420487-10,9601901157814i</v>
      </c>
      <c r="AD141" s="20">
        <f t="shared" si="126"/>
        <v>21.004878189762969</v>
      </c>
      <c r="AE141" s="43">
        <f t="shared" si="127"/>
        <v>-77.495635728299661</v>
      </c>
      <c r="AF141" t="str">
        <f t="shared" si="108"/>
        <v>171,265703090588</v>
      </c>
      <c r="AG141" t="str">
        <f t="shared" si="109"/>
        <v>1+4,71756746538765i</v>
      </c>
      <c r="AH141">
        <f t="shared" si="128"/>
        <v>4.8223897385512151</v>
      </c>
      <c r="AI141">
        <f t="shared" si="129"/>
        <v>1.3619145955463052</v>
      </c>
      <c r="AJ141" t="str">
        <f t="shared" si="110"/>
        <v>1+0,0161336139025198i</v>
      </c>
      <c r="AK141">
        <f t="shared" si="130"/>
        <v>1.0001301382807917</v>
      </c>
      <c r="AL141">
        <f t="shared" si="131"/>
        <v>1.6132214296168058E-2</v>
      </c>
      <c r="AM141" t="str">
        <f t="shared" si="111"/>
        <v>1-0,00134149143787049i</v>
      </c>
      <c r="AN141">
        <f t="shared" si="132"/>
        <v>1.000000899799234</v>
      </c>
      <c r="AO141">
        <f t="shared" si="133"/>
        <v>-1.3414906331556847E-3</v>
      </c>
      <c r="AP141" s="41" t="str">
        <f t="shared" si="134"/>
        <v>7,87862084071299-34,6345420961625i</v>
      </c>
      <c r="AQ141">
        <f t="shared" si="135"/>
        <v>31.009300014289366</v>
      </c>
      <c r="AR141" s="43">
        <f t="shared" si="136"/>
        <v>-77.184512340234932</v>
      </c>
      <c r="AS141" t="str">
        <f t="shared" si="112"/>
        <v>-0,0000166666666666667</v>
      </c>
      <c r="AT141" t="str">
        <f t="shared" si="113"/>
        <v>1,63576918733882E-06i</v>
      </c>
      <c r="AU141">
        <f t="shared" si="137"/>
        <v>1.63576918733882E-6</v>
      </c>
      <c r="AV141">
        <f t="shared" si="138"/>
        <v>1.5707963267948966</v>
      </c>
      <c r="AW141" t="str">
        <f t="shared" si="114"/>
        <v>1+0,00757993695137489i</v>
      </c>
      <c r="AX141">
        <f t="shared" si="139"/>
        <v>1.0000287273094641</v>
      </c>
      <c r="AY141">
        <f t="shared" si="140"/>
        <v>7.5797917868310038E-3</v>
      </c>
      <c r="AZ141" t="str">
        <f t="shared" si="115"/>
        <v>1+0,352122525650234i</v>
      </c>
      <c r="BA141">
        <f t="shared" si="141"/>
        <v>1.060184075088048</v>
      </c>
      <c r="BB141">
        <f t="shared" si="142"/>
        <v>0.33856445799845142</v>
      </c>
      <c r="BC141" s="41" t="str">
        <f t="shared" si="143"/>
        <v>-3,51030366076272+10,2154944273023i</v>
      </c>
      <c r="BD141">
        <f t="shared" si="144"/>
        <v>20.669910538387629</v>
      </c>
      <c r="BE141" s="43">
        <f t="shared" si="145"/>
        <v>108.96402445747211</v>
      </c>
      <c r="BF141" s="41" t="str">
        <f t="shared" si="146"/>
        <v>103,431295624131+63,3043114103985i</v>
      </c>
      <c r="BG141" s="20">
        <f t="shared" si="147"/>
        <v>41.674788728150574</v>
      </c>
      <c r="BH141" s="43">
        <f t="shared" si="148"/>
        <v>31.468388729172517</v>
      </c>
      <c r="BI141" s="41" t="str">
        <f t="shared" si="152"/>
        <v>326,152620196599+202,061767202131i</v>
      </c>
      <c r="BJ141" s="20">
        <f t="shared" si="149"/>
        <v>51.679210552676992</v>
      </c>
      <c r="BK141" s="43">
        <f t="shared" si="153"/>
        <v>31.779512117237147</v>
      </c>
      <c r="BL141">
        <f t="shared" si="150"/>
        <v>41.674788728150574</v>
      </c>
      <c r="BM141" s="43">
        <f t="shared" si="151"/>
        <v>31.468388729172517</v>
      </c>
    </row>
    <row r="142" spans="14:65" x14ac:dyDescent="0.25">
      <c r="N142" s="9">
        <v>24</v>
      </c>
      <c r="O142" s="34">
        <f t="shared" si="154"/>
        <v>173.78008287493768</v>
      </c>
      <c r="P142" s="33" t="str">
        <f t="shared" si="103"/>
        <v>54,631621870174</v>
      </c>
      <c r="Q142" s="4" t="str">
        <f t="shared" si="104"/>
        <v>1+4,87409893978346i</v>
      </c>
      <c r="R142" s="4">
        <f t="shared" si="117"/>
        <v>4.9756246316214661</v>
      </c>
      <c r="S142" s="4">
        <f t="shared" si="118"/>
        <v>1.3684383084581255</v>
      </c>
      <c r="T142" s="4" t="str">
        <f t="shared" si="105"/>
        <v>1+0,0165094140466119i</v>
      </c>
      <c r="U142" s="4">
        <f t="shared" si="119"/>
        <v>1.0001362710911761</v>
      </c>
      <c r="V142" s="4">
        <f t="shared" si="120"/>
        <v>1.6507914352422156E-2</v>
      </c>
      <c r="W142" t="str">
        <f t="shared" si="106"/>
        <v>1-0,00434501009196053i</v>
      </c>
      <c r="X142" s="4">
        <f t="shared" si="121"/>
        <v>1.0000094395117973</v>
      </c>
      <c r="Y142" s="4">
        <f t="shared" si="122"/>
        <v>-4.3449827489585209E-3</v>
      </c>
      <c r="Z142" t="str">
        <f t="shared" si="107"/>
        <v>0,999999879201931+0,000596969244008553i</v>
      </c>
      <c r="AA142" s="4">
        <f t="shared" si="123"/>
        <v>1.0000000573880758</v>
      </c>
      <c r="AB142" s="4">
        <f t="shared" si="124"/>
        <v>5.9696924520685323E-4</v>
      </c>
      <c r="AC142" s="47" t="str">
        <f t="shared" si="125"/>
        <v>2,33131882326128-10,7311333779207i</v>
      </c>
      <c r="AD142" s="20">
        <f t="shared" si="126"/>
        <v>20.813194740030916</v>
      </c>
      <c r="AE142" s="43">
        <f t="shared" si="127"/>
        <v>-77.743058769536816</v>
      </c>
      <c r="AF142" t="str">
        <f t="shared" si="108"/>
        <v>171,265703090588</v>
      </c>
      <c r="AG142" t="str">
        <f t="shared" si="109"/>
        <v>1+4,82745372794288i</v>
      </c>
      <c r="AH142">
        <f t="shared" si="128"/>
        <v>4.9299401107345728</v>
      </c>
      <c r="AI142">
        <f t="shared" si="129"/>
        <v>1.3665367132298329</v>
      </c>
      <c r="AJ142" t="str">
        <f t="shared" si="110"/>
        <v>1+0,0165094140466119i</v>
      </c>
      <c r="AK142">
        <f t="shared" si="130"/>
        <v>1.0001362710911761</v>
      </c>
      <c r="AL142">
        <f t="shared" si="131"/>
        <v>1.6507914352422156E-2</v>
      </c>
      <c r="AM142" t="str">
        <f t="shared" si="111"/>
        <v>1-0,00137273878757751i</v>
      </c>
      <c r="AN142">
        <f t="shared" si="132"/>
        <v>1.0000009422054454</v>
      </c>
      <c r="AO142">
        <f t="shared" si="133"/>
        <v>-1.3727379253101048E-3</v>
      </c>
      <c r="AP142" s="41" t="str">
        <f t="shared" si="134"/>
        <v>7,56179653602913-33,9118295471069i</v>
      </c>
      <c r="AQ142">
        <f t="shared" si="135"/>
        <v>30.817766905279612</v>
      </c>
      <c r="AR142" s="43">
        <f t="shared" si="136"/>
        <v>-77.429604486289278</v>
      </c>
      <c r="AS142" t="str">
        <f t="shared" si="112"/>
        <v>-0,0000166666666666667</v>
      </c>
      <c r="AT142" t="str">
        <f t="shared" si="113"/>
        <v>0,0000016738711463926i</v>
      </c>
      <c r="AU142">
        <f t="shared" si="137"/>
        <v>1.6738711463925999E-6</v>
      </c>
      <c r="AV142">
        <f t="shared" si="138"/>
        <v>1.5707963267948966</v>
      </c>
      <c r="AW142" t="str">
        <f t="shared" si="114"/>
        <v>1+0,0077564963642719i</v>
      </c>
      <c r="AX142">
        <f t="shared" si="139"/>
        <v>1.0000300811654863</v>
      </c>
      <c r="AY142">
        <f t="shared" si="140"/>
        <v>7.7563408179133894E-3</v>
      </c>
      <c r="AZ142" t="str">
        <f t="shared" si="115"/>
        <v>1+0,360324512922086i</v>
      </c>
      <c r="BA142">
        <f t="shared" si="141"/>
        <v>1.0629363831446068</v>
      </c>
      <c r="BB142">
        <f t="shared" si="142"/>
        <v>0.34584283213544592</v>
      </c>
      <c r="BC142" s="41" t="str">
        <f t="shared" si="143"/>
        <v>-3,51029415616357+9,9841867575605i</v>
      </c>
      <c r="BD142">
        <f t="shared" si="144"/>
        <v>20.492418704928266</v>
      </c>
      <c r="BE142" s="43">
        <f t="shared" si="145"/>
        <v>109.37092906288096</v>
      </c>
      <c r="BF142" s="41" t="str">
        <f t="shared" si="146"/>
        <v>98,9580249240031+60,9457573083837i</v>
      </c>
      <c r="BG142" s="20">
        <f t="shared" si="147"/>
        <v>41.305613444959178</v>
      </c>
      <c r="BH142" s="43">
        <f t="shared" si="148"/>
        <v>31.627870293344184</v>
      </c>
      <c r="BI142" s="41" t="str">
        <f t="shared" si="152"/>
        <v>312,037909298353+194,538885922413i</v>
      </c>
      <c r="BJ142" s="20">
        <f t="shared" si="149"/>
        <v>51.310185610207881</v>
      </c>
      <c r="BK142" s="43">
        <f t="shared" si="153"/>
        <v>31.941324576591612</v>
      </c>
      <c r="BL142">
        <f t="shared" si="150"/>
        <v>41.305613444959178</v>
      </c>
      <c r="BM142" s="43">
        <f t="shared" si="151"/>
        <v>31.627870293344184</v>
      </c>
    </row>
    <row r="143" spans="14:65" x14ac:dyDescent="0.25">
      <c r="N143" s="9">
        <v>25</v>
      </c>
      <c r="O143" s="34">
        <f t="shared" si="154"/>
        <v>177.82794100389242</v>
      </c>
      <c r="P143" s="33" t="str">
        <f t="shared" si="103"/>
        <v>54,631621870174</v>
      </c>
      <c r="Q143" s="4" t="str">
        <f t="shared" si="104"/>
        <v>1+4,98763128876349i</v>
      </c>
      <c r="R143" s="4">
        <f t="shared" si="117"/>
        <v>5.0868915727242063</v>
      </c>
      <c r="S143" s="4">
        <f t="shared" si="118"/>
        <v>1.3729239130743178</v>
      </c>
      <c r="T143" s="4" t="str">
        <f t="shared" si="105"/>
        <v>1+0,0168939677005595i</v>
      </c>
      <c r="U143" s="4">
        <f t="shared" si="119"/>
        <v>1.0001426928917032</v>
      </c>
      <c r="V143" s="4">
        <f t="shared" si="120"/>
        <v>1.6892360761665479E-2</v>
      </c>
      <c r="W143" t="str">
        <f t="shared" si="106"/>
        <v>1-0,00444621837849238i</v>
      </c>
      <c r="X143" s="4">
        <f t="shared" si="121"/>
        <v>1.000009884380084</v>
      </c>
      <c r="Y143" s="4">
        <f t="shared" si="122"/>
        <v>-4.4461890799535053E-3</v>
      </c>
      <c r="Z143" t="str">
        <f t="shared" si="107"/>
        <v>0,999999873508894+0,000610874444001094i</v>
      </c>
      <c r="AA143" s="4">
        <f t="shared" si="123"/>
        <v>1.0000000600926935</v>
      </c>
      <c r="AB143" s="4">
        <f t="shared" si="124"/>
        <v>6.1087444528509544E-4</v>
      </c>
      <c r="AC143" s="47" t="str">
        <f t="shared" si="125"/>
        <v>2,23606478212275-10,5060016690864i</v>
      </c>
      <c r="AD143" s="20">
        <f t="shared" si="126"/>
        <v>20.621156919487934</v>
      </c>
      <c r="AE143" s="43">
        <f t="shared" si="127"/>
        <v>-77.984633230814183</v>
      </c>
      <c r="AF143" t="str">
        <f t="shared" si="108"/>
        <v>171,265703090588</v>
      </c>
      <c r="AG143" t="str">
        <f t="shared" si="109"/>
        <v>1+4,93989957036357i</v>
      </c>
      <c r="AH143">
        <f t="shared" si="128"/>
        <v>5.0400999757225229</v>
      </c>
      <c r="AI143">
        <f t="shared" si="129"/>
        <v>1.3710621873968567</v>
      </c>
      <c r="AJ143" t="str">
        <f t="shared" si="110"/>
        <v>1+0,0168939677005595i</v>
      </c>
      <c r="AK143">
        <f t="shared" si="130"/>
        <v>1.0001426928917032</v>
      </c>
      <c r="AL143">
        <f t="shared" si="131"/>
        <v>1.6892360761665479E-2</v>
      </c>
      <c r="AM143" t="str">
        <f t="shared" si="111"/>
        <v>1-0,00140471398156005i</v>
      </c>
      <c r="AN143">
        <f t="shared" si="132"/>
        <v>1.0000009866101984</v>
      </c>
      <c r="AO143">
        <f t="shared" si="133"/>
        <v>-1.4047130576239281E-3</v>
      </c>
      <c r="AP143" s="41" t="str">
        <f t="shared" si="134"/>
        <v>7,25808254345535-33,2014209095455i</v>
      </c>
      <c r="AQ143">
        <f t="shared" si="135"/>
        <v>30.625872907179708</v>
      </c>
      <c r="AR143" s="43">
        <f t="shared" si="136"/>
        <v>-77.668699939787601</v>
      </c>
      <c r="AS143" t="str">
        <f t="shared" si="112"/>
        <v>-0,0000166666666666667</v>
      </c>
      <c r="AT143" t="str">
        <f t="shared" si="113"/>
        <v>0,0000017128606140845i</v>
      </c>
      <c r="AU143">
        <f t="shared" si="137"/>
        <v>1.7128606140845E-6</v>
      </c>
      <c r="AV143">
        <f t="shared" si="138"/>
        <v>1.5707963267948966</v>
      </c>
      <c r="AW143" t="str">
        <f t="shared" si="114"/>
        <v>1+0,00793716837421062i</v>
      </c>
      <c r="AX143">
        <f t="shared" si="139"/>
        <v>1.0000314988248122</v>
      </c>
      <c r="AY143">
        <f t="shared" si="140"/>
        <v>7.9370017035681507E-3</v>
      </c>
      <c r="AZ143" t="str">
        <f t="shared" si="115"/>
        <v>1+0,368717549020148i</v>
      </c>
      <c r="BA143">
        <f t="shared" si="141"/>
        <v>1.0658107857192221</v>
      </c>
      <c r="BB143">
        <f t="shared" si="142"/>
        <v>0.35325142416869115</v>
      </c>
      <c r="BC143" s="41" t="str">
        <f t="shared" si="143"/>
        <v>-3,51028420368164+9,75817282884369i</v>
      </c>
      <c r="BD143">
        <f t="shared" si="144"/>
        <v>20.315863154485712</v>
      </c>
      <c r="BE143" s="43">
        <f t="shared" si="145"/>
        <v>109.78505901224908</v>
      </c>
      <c r="BF143" s="41" t="str">
        <f t="shared" si="146"/>
        <v>94,6701571439711+58,6989583032914i</v>
      </c>
      <c r="BG143" s="20">
        <f t="shared" si="147"/>
        <v>40.937020073973642</v>
      </c>
      <c r="BH143" s="43">
        <f t="shared" si="148"/>
        <v>31.800425781434864</v>
      </c>
      <c r="BI143" s="41" t="str">
        <f t="shared" si="152"/>
        <v>298,507270897221+187,372047223614i</v>
      </c>
      <c r="BJ143" s="20">
        <f t="shared" si="149"/>
        <v>50.941736061665424</v>
      </c>
      <c r="BK143" s="43">
        <f t="shared" si="153"/>
        <v>32.11635907246152</v>
      </c>
      <c r="BL143">
        <f t="shared" si="150"/>
        <v>40.937020073973642</v>
      </c>
      <c r="BM143" s="43">
        <f t="shared" si="151"/>
        <v>31.800425781434864</v>
      </c>
    </row>
    <row r="144" spans="14:65" x14ac:dyDescent="0.25">
      <c r="N144" s="9">
        <v>26</v>
      </c>
      <c r="O144" s="34">
        <f t="shared" si="154"/>
        <v>181.9700858609983</v>
      </c>
      <c r="P144" s="33" t="str">
        <f t="shared" si="103"/>
        <v>54,631621870174</v>
      </c>
      <c r="Q144" s="4" t="str">
        <f t="shared" si="104"/>
        <v>1+5,10380814587187i</v>
      </c>
      <c r="R144" s="4">
        <f t="shared" si="117"/>
        <v>5.2008516215969918</v>
      </c>
      <c r="S144" s="4">
        <f t="shared" si="118"/>
        <v>1.3773152228529253</v>
      </c>
      <c r="T144" s="4" t="str">
        <f t="shared" si="105"/>
        <v>1+0,0172874787597998i</v>
      </c>
      <c r="U144" s="4">
        <f t="shared" si="119"/>
        <v>1.0001494172981706</v>
      </c>
      <c r="V144" s="4">
        <f t="shared" si="120"/>
        <v>1.7285756907645368E-2</v>
      </c>
      <c r="W144" t="str">
        <f t="shared" si="106"/>
        <v>1-0,00454978410886112i</v>
      </c>
      <c r="X144" s="4">
        <f t="shared" si="121"/>
        <v>1.0000103502141553</v>
      </c>
      <c r="Y144" s="4">
        <f t="shared" si="122"/>
        <v>-4.5497527149286491E-3</v>
      </c>
      <c r="Z144" t="str">
        <f t="shared" si="107"/>
        <v>0,999999867547551+0,000625103537709717i</v>
      </c>
      <c r="AA144" s="4">
        <f t="shared" si="123"/>
        <v>1.0000000629247741</v>
      </c>
      <c r="AB144" s="4">
        <f t="shared" si="124"/>
        <v>6.2510353908554975E-4</v>
      </c>
      <c r="AC144" s="47" t="str">
        <f t="shared" si="125"/>
        <v>2,14477341504582-10,2847843907208i</v>
      </c>
      <c r="AD144" s="20">
        <f t="shared" si="126"/>
        <v>20.428779680743276</v>
      </c>
      <c r="AE144" s="43">
        <f t="shared" si="127"/>
        <v>-78.220445835037694</v>
      </c>
      <c r="AF144" t="str">
        <f t="shared" si="108"/>
        <v>171,265703090588</v>
      </c>
      <c r="AG144" t="str">
        <f t="shared" si="109"/>
        <v>1+5,05496461292371i</v>
      </c>
      <c r="AH144">
        <f t="shared" si="128"/>
        <v>5.152928025687042</v>
      </c>
      <c r="AI144">
        <f t="shared" si="129"/>
        <v>1.375492675713039</v>
      </c>
      <c r="AJ144" t="str">
        <f t="shared" si="110"/>
        <v>1+0,0172874787597998i</v>
      </c>
      <c r="AK144">
        <f t="shared" si="130"/>
        <v>1.0001494172981706</v>
      </c>
      <c r="AL144">
        <f t="shared" si="131"/>
        <v>1.7285756907645368E-2</v>
      </c>
      <c r="AM144" t="str">
        <f t="shared" si="111"/>
        <v>1-0,00143743397348919i</v>
      </c>
      <c r="AN144">
        <f t="shared" si="132"/>
        <v>1.0000010331076805</v>
      </c>
      <c r="AO144">
        <f t="shared" si="133"/>
        <v>-1.4374329834738538E-3</v>
      </c>
      <c r="AP144" s="41" t="str">
        <f t="shared" si="134"/>
        <v>6,9669840652343-32,5032888442179i</v>
      </c>
      <c r="AQ144">
        <f t="shared" si="135"/>
        <v>30.43363320584416</v>
      </c>
      <c r="AR144" s="43">
        <f t="shared" si="136"/>
        <v>-77.90188299630266</v>
      </c>
      <c r="AS144" t="str">
        <f t="shared" si="112"/>
        <v>-0,0000166666666666667</v>
      </c>
      <c r="AT144" t="str">
        <f t="shared" si="113"/>
        <v>1,75275826314637E-06i</v>
      </c>
      <c r="AU144">
        <f t="shared" si="137"/>
        <v>1.7527582631463699E-6</v>
      </c>
      <c r="AV144">
        <f t="shared" si="138"/>
        <v>1.5707963267948966</v>
      </c>
      <c r="AW144" t="str">
        <f t="shared" si="114"/>
        <v>1+0,00812204877588209i</v>
      </c>
      <c r="AX144">
        <f t="shared" si="139"/>
        <v>1.0000329832942101</v>
      </c>
      <c r="AY144">
        <f t="shared" si="140"/>
        <v>8.1218701853891951E-3</v>
      </c>
      <c r="AZ144" t="str">
        <f t="shared" si="115"/>
        <v>1+0,37730608404325i</v>
      </c>
      <c r="BA144">
        <f t="shared" si="141"/>
        <v>1.0688123694344354</v>
      </c>
      <c r="BB144">
        <f t="shared" si="142"/>
        <v>0.36079090815904935</v>
      </c>
      <c r="BC144" s="41" t="str">
        <f t="shared" si="143"/>
        <v>-3,51027378221414+9,53733280507817i</v>
      </c>
      <c r="BD144">
        <f t="shared" si="144"/>
        <v>20.140277469120193</v>
      </c>
      <c r="BE144" s="43">
        <f t="shared" si="145"/>
        <v>110.20644744082971</v>
      </c>
      <c r="BF144" s="41" t="str">
        <f t="shared" si="146"/>
        <v>90,5606696751522+56,5578268532485i</v>
      </c>
      <c r="BG144" s="20">
        <f t="shared" si="147"/>
        <v>40.569057149863468</v>
      </c>
      <c r="BH144" s="43">
        <f t="shared" si="148"/>
        <v>31.986001605792016</v>
      </c>
      <c r="BI144" s="41" t="str">
        <f t="shared" si="152"/>
        <v>285,538661461595+180,541888343407i</v>
      </c>
      <c r="BJ144" s="20">
        <f t="shared" si="149"/>
        <v>50.573910674964353</v>
      </c>
      <c r="BK144" s="43">
        <f t="shared" si="153"/>
        <v>32.30456444452701</v>
      </c>
      <c r="BL144">
        <f t="shared" si="150"/>
        <v>40.569057149863468</v>
      </c>
      <c r="BM144" s="43">
        <f t="shared" si="151"/>
        <v>31.986001605792016</v>
      </c>
    </row>
    <row r="145" spans="14:65" x14ac:dyDescent="0.25">
      <c r="N145" s="9">
        <v>27</v>
      </c>
      <c r="O145" s="34">
        <f t="shared" si="154"/>
        <v>186.20871366628685</v>
      </c>
      <c r="P145" s="33" t="str">
        <f t="shared" si="103"/>
        <v>54,631621870174</v>
      </c>
      <c r="Q145" s="4" t="str">
        <f t="shared" si="104"/>
        <v>1+5,22269110961611i</v>
      </c>
      <c r="R145" s="4">
        <f t="shared" si="117"/>
        <v>5.3175654604774873</v>
      </c>
      <c r="S145" s="4">
        <f t="shared" si="118"/>
        <v>1.3816138883585565</v>
      </c>
      <c r="T145" s="4" t="str">
        <f t="shared" si="105"/>
        <v>1+0,0176901558691055i</v>
      </c>
      <c r="U145" s="4">
        <f t="shared" si="119"/>
        <v>1.000156458567695</v>
      </c>
      <c r="V145" s="4">
        <f t="shared" si="120"/>
        <v>1.7688310886868976E-2</v>
      </c>
      <c r="W145" t="str">
        <f t="shared" si="106"/>
        <v>1-0,00465576219498792i</v>
      </c>
      <c r="X145" s="4">
        <f t="shared" si="121"/>
        <v>1.0000108380020769</v>
      </c>
      <c r="Y145" s="4">
        <f t="shared" si="122"/>
        <v>-4.6557285558029007E-3</v>
      </c>
      <c r="Z145" t="str">
        <f t="shared" si="107"/>
        <v>0,99999986130526+0,000639664069588261i</v>
      </c>
      <c r="AA145" s="4">
        <f t="shared" si="123"/>
        <v>1.0000000658903285</v>
      </c>
      <c r="AB145" s="4">
        <f t="shared" si="124"/>
        <v>6.396640710624919E-4</v>
      </c>
      <c r="AC145" s="47" t="str">
        <f t="shared" si="125"/>
        <v>2,0572933709108-10,0674666833712i</v>
      </c>
      <c r="AD145" s="20">
        <f t="shared" si="126"/>
        <v>20.236077418421388</v>
      </c>
      <c r="AE145" s="43">
        <f t="shared" si="127"/>
        <v>-78.45058280745539</v>
      </c>
      <c r="AF145" t="str">
        <f t="shared" si="108"/>
        <v>171,265703090588</v>
      </c>
      <c r="AG145" t="str">
        <f t="shared" si="109"/>
        <v>1+5,17270986463203i</v>
      </c>
      <c r="AH145">
        <f t="shared" si="128"/>
        <v>5.2684843497595697</v>
      </c>
      <c r="AI145">
        <f t="shared" si="129"/>
        <v>1.3798298312140946</v>
      </c>
      <c r="AJ145" t="str">
        <f t="shared" si="110"/>
        <v>1+0,0176901558691055i</v>
      </c>
      <c r="AK145">
        <f t="shared" si="130"/>
        <v>1.000156458567695</v>
      </c>
      <c r="AL145">
        <f t="shared" si="131"/>
        <v>1.7688310886868976E-2</v>
      </c>
      <c r="AM145" t="str">
        <f t="shared" si="111"/>
        <v>1-0,00147091611193776i</v>
      </c>
      <c r="AN145">
        <f t="shared" si="132"/>
        <v>1.000001081796519</v>
      </c>
      <c r="AO145">
        <f t="shared" si="133"/>
        <v>-1.4709150511172768E-3</v>
      </c>
      <c r="AP145" s="41" t="str">
        <f t="shared" si="134"/>
        <v>6,68802090845474-31,817392227423i</v>
      </c>
      <c r="AQ145">
        <f t="shared" si="135"/>
        <v>30.241062421657951</v>
      </c>
      <c r="AR145" s="43">
        <f t="shared" si="136"/>
        <v>-78.129237438734776</v>
      </c>
      <c r="AS145" t="str">
        <f t="shared" si="112"/>
        <v>-0,0000166666666666667</v>
      </c>
      <c r="AT145" t="str">
        <f t="shared" si="113"/>
        <v>1,79358524783987E-06i</v>
      </c>
      <c r="AU145">
        <f t="shared" si="137"/>
        <v>1.79358524783987E-6</v>
      </c>
      <c r="AV145">
        <f t="shared" si="138"/>
        <v>1.5707963267948966</v>
      </c>
      <c r="AW145" t="str">
        <f t="shared" si="114"/>
        <v>1+0,00831123559532261i</v>
      </c>
      <c r="AX145">
        <f t="shared" si="139"/>
        <v>1.0000345377221334</v>
      </c>
      <c r="AY145">
        <f t="shared" si="140"/>
        <v>8.3110442325186867E-3</v>
      </c>
      <c r="AZ145" t="str">
        <f t="shared" si="115"/>
        <v>1+0,386094671746351i</v>
      </c>
      <c r="BA145">
        <f t="shared" si="141"/>
        <v>1.0719464051672185</v>
      </c>
      <c r="BB145">
        <f t="shared" si="142"/>
        <v>0.36846185206157767</v>
      </c>
      <c r="BC145" s="41" t="str">
        <f t="shared" si="143"/>
        <v>-3,51026286966434+9,32154959342755i</v>
      </c>
      <c r="BD145">
        <f t="shared" si="144"/>
        <v>19.965695986079851</v>
      </c>
      <c r="BE145" s="43">
        <f t="shared" si="145"/>
        <v>110.63512127683227</v>
      </c>
      <c r="BF145" s="41" t="str">
        <f t="shared" si="146"/>
        <v>86,6227494373094+54,5166166753955i</v>
      </c>
      <c r="BG145" s="20">
        <f t="shared" si="147"/>
        <v>40.201773404501246</v>
      </c>
      <c r="BH145" s="43">
        <f t="shared" si="148"/>
        <v>32.184538469376903</v>
      </c>
      <c r="BI145" s="41" t="str">
        <f t="shared" si="152"/>
        <v>273,110688114972+174,030129125511i</v>
      </c>
      <c r="BJ145" s="20">
        <f t="shared" si="149"/>
        <v>50.206758407737802</v>
      </c>
      <c r="BK145" s="43">
        <f t="shared" si="153"/>
        <v>32.505883838097546</v>
      </c>
      <c r="BL145">
        <f t="shared" si="150"/>
        <v>40.201773404501246</v>
      </c>
      <c r="BM145" s="43">
        <f t="shared" si="151"/>
        <v>32.184538469376903</v>
      </c>
    </row>
    <row r="146" spans="14:65" x14ac:dyDescent="0.25">
      <c r="N146" s="9">
        <v>28</v>
      </c>
      <c r="O146" s="34">
        <f t="shared" si="154"/>
        <v>190.54607179632498</v>
      </c>
      <c r="P146" s="33" t="str">
        <f t="shared" si="103"/>
        <v>54,631621870174</v>
      </c>
      <c r="Q146" s="4" t="str">
        <f t="shared" si="104"/>
        <v>1+5,3443432133172i</v>
      </c>
      <c r="R146" s="4">
        <f t="shared" si="117"/>
        <v>5.4370952154371555</v>
      </c>
      <c r="S146" s="4">
        <f t="shared" si="118"/>
        <v>1.3858215530302596</v>
      </c>
      <c r="T146" s="4" t="str">
        <f t="shared" si="105"/>
        <v>1+0,0181022125332101i</v>
      </c>
      <c r="U146" s="4">
        <f t="shared" si="119"/>
        <v>1.0001638316288974</v>
      </c>
      <c r="V146" s="4">
        <f t="shared" si="120"/>
        <v>1.8100235616615196E-2</v>
      </c>
      <c r="W146" t="str">
        <f t="shared" si="106"/>
        <v>1-0,00476420882785683i</v>
      </c>
      <c r="X146" s="4">
        <f t="shared" si="121"/>
        <v>1.0000113487784803</v>
      </c>
      <c r="Y146" s="4">
        <f t="shared" si="122"/>
        <v>-4.7641727828427625E-3</v>
      </c>
      <c r="Z146" t="str">
        <f t="shared" si="107"/>
        <v>0,999999854768778+0,000654563759823461i</v>
      </c>
      <c r="AA146" s="4">
        <f t="shared" si="123"/>
        <v>1.0000000689956439</v>
      </c>
      <c r="AB146" s="4">
        <f t="shared" si="124"/>
        <v>6.5456376140312787E-4</v>
      </c>
      <c r="AC146" s="47" t="str">
        <f t="shared" si="125"/>
        <v>1,97347792574472-9,85402974943984i</v>
      </c>
      <c r="AD146" s="20">
        <f t="shared" si="126"/>
        <v>20.043063986475946</v>
      </c>
      <c r="AE146" s="43">
        <f t="shared" si="127"/>
        <v>-78.675129772153227</v>
      </c>
      <c r="AF146" t="str">
        <f t="shared" si="108"/>
        <v>171,265703090588</v>
      </c>
      <c r="AG146" t="str">
        <f t="shared" si="109"/>
        <v>1+5,29319775557952i</v>
      </c>
      <c r="AH146">
        <f t="shared" si="128"/>
        <v>5.3868304669510501</v>
      </c>
      <c r="AI146">
        <f t="shared" si="129"/>
        <v>1.3840753005167419</v>
      </c>
      <c r="AJ146" t="str">
        <f t="shared" si="110"/>
        <v>1+0,0181022125332101i</v>
      </c>
      <c r="AK146">
        <f t="shared" si="130"/>
        <v>1.0001638316288974</v>
      </c>
      <c r="AL146">
        <f t="shared" si="131"/>
        <v>1.8100235616615196E-2</v>
      </c>
      <c r="AM146" t="str">
        <f t="shared" si="111"/>
        <v>1-0,00150517814957878i</v>
      </c>
      <c r="AN146">
        <f t="shared" si="132"/>
        <v>1.0000011327799894</v>
      </c>
      <c r="AO146">
        <f t="shared" si="133"/>
        <v>-1.5051770128892224E-3</v>
      </c>
      <c r="AP146" s="41" t="str">
        <f t="shared" si="134"/>
        <v>6,42072741553181-31,1436771821496i</v>
      </c>
      <c r="AQ146">
        <f t="shared" si="135"/>
        <v>30.048174626872619</v>
      </c>
      <c r="AR146" s="43">
        <f t="shared" si="136"/>
        <v>-78.350846429144653</v>
      </c>
      <c r="AS146" t="str">
        <f t="shared" si="112"/>
        <v>-0,0000166666666666667</v>
      </c>
      <c r="AT146" t="str">
        <f t="shared" si="113"/>
        <v>1,83536321517268E-06i</v>
      </c>
      <c r="AU146">
        <f t="shared" si="137"/>
        <v>1.8353632151726801E-6</v>
      </c>
      <c r="AV146">
        <f t="shared" si="138"/>
        <v>1.5707963267948966</v>
      </c>
      <c r="AW146" t="str">
        <f t="shared" si="114"/>
        <v>1+0,00850482914188806i</v>
      </c>
      <c r="AX146">
        <f t="shared" si="139"/>
        <v>1.0000361654053982</v>
      </c>
      <c r="AY146">
        <f t="shared" si="140"/>
        <v>8.5046240933498458E-3</v>
      </c>
      <c r="AZ146" t="str">
        <f t="shared" si="115"/>
        <v>1+0,395087971954982i</v>
      </c>
      <c r="BA146">
        <f t="shared" si="141"/>
        <v>1.0752183525142698</v>
      </c>
      <c r="BB146">
        <f t="shared" si="142"/>
        <v>0.37626471102662218</v>
      </c>
      <c r="BC146" s="41" t="str">
        <f t="shared" si="143"/>
        <v>-3,51025144289466+9,1107087822062i</v>
      </c>
      <c r="BD146">
        <f t="shared" si="144"/>
        <v>19.792153776815347</v>
      </c>
      <c r="BE146" s="43">
        <f t="shared" si="145"/>
        <v>111.07110085464078</v>
      </c>
      <c r="BF146" s="41" t="str">
        <f t="shared" si="146"/>
        <v>82,8497916419766+52,5699048158706i</v>
      </c>
      <c r="BG146" s="20">
        <f t="shared" si="147"/>
        <v>39.835217763291297</v>
      </c>
      <c r="BH146" s="43">
        <f t="shared" si="148"/>
        <v>32.395971082487542</v>
      </c>
      <c r="BI146" s="41" t="str">
        <f t="shared" si="152"/>
        <v>261,202605538801+167,819515418524i</v>
      </c>
      <c r="BJ146" s="20">
        <f t="shared" si="149"/>
        <v>49.840328403687963</v>
      </c>
      <c r="BK146" s="43">
        <f t="shared" si="153"/>
        <v>32.720254425496194</v>
      </c>
      <c r="BL146">
        <f t="shared" si="150"/>
        <v>39.835217763291297</v>
      </c>
      <c r="BM146" s="43">
        <f t="shared" si="151"/>
        <v>32.395971082487542</v>
      </c>
    </row>
    <row r="147" spans="14:65" x14ac:dyDescent="0.25">
      <c r="N147" s="9">
        <v>29</v>
      </c>
      <c r="O147" s="34">
        <f t="shared" si="154"/>
        <v>194.98445997580458</v>
      </c>
      <c r="P147" s="33" t="str">
        <f t="shared" ref="P147:P210" si="155">COMPLEX(Adc,0)</f>
        <v>54,631621870174</v>
      </c>
      <c r="Q147" s="4" t="str">
        <f t="shared" ref="Q147:Q210" si="156">IMSUM(COMPLEX(1,0),IMDIV(COMPLEX(0,2*PI()*O147),COMPLEX(wp_lf,0)))</f>
        <v>1+5,46882895853067i</v>
      </c>
      <c r="R147" s="4">
        <f t="shared" si="117"/>
        <v>5.5595044902998012</v>
      </c>
      <c r="S147" s="4">
        <f t="shared" si="118"/>
        <v>1.3899398515831163</v>
      </c>
      <c r="T147" s="4" t="str">
        <f t="shared" ref="T147:T210" si="157">IMSUM(COMPLEX(1,0),IMDIV(COMPLEX(0,2*PI()*O147),COMPLEX(wz_esr,0)))</f>
        <v>1+0,0185238672300106i</v>
      </c>
      <c r="U147" s="4">
        <f t="shared" si="119"/>
        <v>1.0001715521135137</v>
      </c>
      <c r="V147" s="4">
        <f t="shared" si="120"/>
        <v>1.8521748945337264E-2</v>
      </c>
      <c r="W147" t="str">
        <f t="shared" ref="W147:W210" si="158">IMSUB(COMPLEX(1,0),IMDIV(COMPLEX(0,2*PI()*O147),COMPLEX(wz_rhp,0)))</f>
        <v>1-0,00487518150730798i</v>
      </c>
      <c r="X147" s="4">
        <f t="shared" si="121"/>
        <v>1.0000118836267544</v>
      </c>
      <c r="Y147" s="4">
        <f t="shared" si="122"/>
        <v>-4.8751428844043369E-3</v>
      </c>
      <c r="Z147" t="str">
        <f t="shared" ref="Z147:Z210" si="159">IMSUM(COMPLEX(1,0),IMDIV(COMPLEX(0,2*PI()*O147),COMPLEX(Q*(wsl/2),0)),IMDIV(IMPOWER(COMPLEX(0,2*PI()*O147),2),IMPOWER(COMPLEX(wsl/2,0),2)))</f>
        <v>0,999999847924241+0,000669810508428287i</v>
      </c>
      <c r="AA147" s="4">
        <f t="shared" si="123"/>
        <v>1.0000000722473086</v>
      </c>
      <c r="AB147" s="4">
        <f t="shared" si="124"/>
        <v>6.6981051012093048E-4</v>
      </c>
      <c r="AC147" s="47" t="str">
        <f t="shared" si="125"/>
        <v>1,89318494356838-9,64445116068127i</v>
      </c>
      <c r="AD147" s="20">
        <f t="shared" si="126"/>
        <v>19.849752715394416</v>
      </c>
      <c r="AE147" s="43">
        <f t="shared" si="127"/>
        <v>-78.894171656086954</v>
      </c>
      <c r="AF147" t="str">
        <f t="shared" ref="AF147:AF210" si="160">COMPLEX($B$72,0)</f>
        <v>171,265703090588</v>
      </c>
      <c r="AG147" t="str">
        <f t="shared" ref="AG147:AG210" si="161">IMSUM(COMPLEX(1,0),IMDIV(COMPLEX(0,2*PI()*O147),COMPLEX(wp_lf_DCM,0)))</f>
        <v>1+5,41649217004071i</v>
      </c>
      <c r="AH147">
        <f t="shared" si="128"/>
        <v>5.5080293597721788</v>
      </c>
      <c r="AI147">
        <f t="shared" si="129"/>
        <v>1.388230722165487</v>
      </c>
      <c r="AJ147" t="str">
        <f t="shared" ref="AJ147:AJ210" si="162">IMSUM(COMPLEX(1,0),IMDIV(COMPLEX(0,2*PI()*O147),COMPLEX(wz1_dcm,0)))</f>
        <v>1+0,0185238672300106i</v>
      </c>
      <c r="AK147">
        <f t="shared" si="130"/>
        <v>1.0001715521135137</v>
      </c>
      <c r="AL147">
        <f t="shared" si="131"/>
        <v>1.8521748945337264E-2</v>
      </c>
      <c r="AM147" t="str">
        <f t="shared" ref="AM147:AM210" si="163">IMSUB(COMPLEX(1,0),IMDIV(COMPLEX(0,2*PI()*O147),COMPLEX(wz2_dcm,0)))</f>
        <v>1-0,00154023825259807i</v>
      </c>
      <c r="AN147">
        <f t="shared" si="132"/>
        <v>1.0000011861662339</v>
      </c>
      <c r="AO147">
        <f t="shared" si="133"/>
        <v>-1.5402370346133431E-3</v>
      </c>
      <c r="AP147" s="41" t="str">
        <f t="shared" si="134"/>
        <v>6,16465235631986-30,4820780611833i</v>
      </c>
      <c r="AQ147">
        <f t="shared" si="135"/>
        <v>29.854983362849595</v>
      </c>
      <c r="AR147" s="43">
        <f t="shared" si="136"/>
        <v>-78.566792408245163</v>
      </c>
      <c r="AS147" t="str">
        <f t="shared" ref="AS147:AS210" si="164">COMPLEX(Adc_ea,0)</f>
        <v>-0,0000166666666666667</v>
      </c>
      <c r="AT147" t="str">
        <f t="shared" ref="AT147:AT210" si="165">COMPLEX(0,2*PI()*O147*wp0_ea)</f>
        <v>1,87811431637608E-06i</v>
      </c>
      <c r="AU147">
        <f t="shared" si="137"/>
        <v>1.87811431637608E-6</v>
      </c>
      <c r="AV147">
        <f t="shared" si="138"/>
        <v>1.5707963267948966</v>
      </c>
      <c r="AW147" t="str">
        <f t="shared" ref="AW147:AW210" si="166">IMSUM(COMPLEX(1,0),IMDIV(COMPLEX(0,2*PI()*O147),COMPLEX(wp1_ea,0)))</f>
        <v>1+0,00870293206143914i</v>
      </c>
      <c r="AX147">
        <f t="shared" si="139"/>
        <v>1.0000378697961723</v>
      </c>
      <c r="AY147">
        <f t="shared" si="140"/>
        <v>8.7027123484212949E-3</v>
      </c>
      <c r="AZ147" t="str">
        <f t="shared" ref="AZ147:AZ210" si="167">IMSUM(COMPLEX(1,0),IMDIV(COMPLEX(0,2*PI()*O147),COMPLEX(wz_ea,0)))</f>
        <v>1+0,404290753035946i</v>
      </c>
      <c r="BA147">
        <f t="shared" si="141"/>
        <v>1.0786338641959896</v>
      </c>
      <c r="BB147">
        <f t="shared" si="142"/>
        <v>0.38419982061542862</v>
      </c>
      <c r="BC147" s="41" t="str">
        <f t="shared" si="143"/>
        <v>-3,51023947767761+8,90469858021377i</v>
      </c>
      <c r="BD147">
        <f t="shared" si="144"/>
        <v>19.619686622176371</v>
      </c>
      <c r="BE147" s="43">
        <f t="shared" si="145"/>
        <v>111.51439952306649</v>
      </c>
      <c r="BF147" s="41" t="str">
        <f t="shared" si="146"/>
        <v>79,235398030001+50,7125744838325i</v>
      </c>
      <c r="BG147" s="20">
        <f t="shared" si="147"/>
        <v>39.46943933757079</v>
      </c>
      <c r="BH147" s="43">
        <f t="shared" si="148"/>
        <v>32.620227866979548</v>
      </c>
      <c r="BI147" s="41" t="str">
        <f t="shared" si="152"/>
        <v>249,794311166072+161,893764856849i</v>
      </c>
      <c r="BJ147" s="20">
        <f t="shared" si="149"/>
        <v>49.474669985025969</v>
      </c>
      <c r="BK147" s="43">
        <f t="shared" si="153"/>
        <v>32.947607114821295</v>
      </c>
      <c r="BL147">
        <f t="shared" si="150"/>
        <v>39.46943933757079</v>
      </c>
      <c r="BM147" s="43">
        <f t="shared" si="151"/>
        <v>32.620227866979548</v>
      </c>
    </row>
    <row r="148" spans="14:65" x14ac:dyDescent="0.25">
      <c r="N148" s="9">
        <v>30</v>
      </c>
      <c r="O148" s="34">
        <f t="shared" si="154"/>
        <v>199.52623149688802</v>
      </c>
      <c r="P148" s="33" t="str">
        <f t="shared" si="155"/>
        <v>54,631621870174</v>
      </c>
      <c r="Q148" s="4" t="str">
        <f t="shared" si="156"/>
        <v>1+5,59621434924649i</v>
      </c>
      <c r="R148" s="4">
        <f t="shared" ref="R148:R211" si="168">IMABS(Q148)</f>
        <v>5.6848584012895449</v>
      </c>
      <c r="S148" s="4">
        <f t="shared" ref="S148:S211" si="169">IMARGUMENT(Q148)</f>
        <v>1.3939704085365732</v>
      </c>
      <c r="T148" s="4" t="str">
        <f t="shared" si="157"/>
        <v>1+0,018955343526409i</v>
      </c>
      <c r="U148" s="4">
        <f t="shared" ref="U148:U211" si="170">IMABS(T148)</f>
        <v>1.0001796363894859</v>
      </c>
      <c r="V148" s="4">
        <f t="shared" ref="V148:V211" si="171">IMARGUMENT(T148)</f>
        <v>1.8953073765504345E-2</v>
      </c>
      <c r="W148" t="str">
        <f t="shared" si="158"/>
        <v>1-0,00498873907252498i</v>
      </c>
      <c r="X148" s="4">
        <f t="shared" ref="X148:X211" si="172">IMABS(W148)</f>
        <v>1.0000124436813442</v>
      </c>
      <c r="Y148" s="4">
        <f t="shared" ref="Y148:Y211" si="173">IMARGUMENT(W148)</f>
        <v>-4.9886976873659162E-3</v>
      </c>
      <c r="Z148" t="str">
        <f t="shared" si="159"/>
        <v>0,999999840757132+0,000685412399430676i</v>
      </c>
      <c r="AA148" s="4">
        <f t="shared" ref="AA148:AA211" si="174">IMABS(Z148)</f>
        <v>1.0000000756522205</v>
      </c>
      <c r="AB148" s="4">
        <f t="shared" ref="AB148:AB211" si="175">IMARGUMENT(Z148)</f>
        <v>6.8541240124437555E-4</v>
      </c>
      <c r="AC148" s="47" t="str">
        <f t="shared" ref="AC148:AC211" si="176">(IMDIV(IMPRODUCT(P148,T148,W148),IMPRODUCT(Q148,Z148)))</f>
        <v>1,81627682687319-9,43870515067407i</v>
      </c>
      <c r="AD148" s="20">
        <f t="shared" ref="AD148:AD211" si="177">20*LOG(IMABS(AC148))</f>
        <v>19.656156429251936</v>
      </c>
      <c r="AE148" s="43">
        <f t="shared" ref="AE148:AE211" si="178">(180/PI())*IMARGUMENT(AC148)</f>
        <v>-79.107792600279211</v>
      </c>
      <c r="AF148" t="str">
        <f t="shared" si="160"/>
        <v>171,265703090588</v>
      </c>
      <c r="AG148" t="str">
        <f t="shared" si="161"/>
        <v>1+5,54265848034624i</v>
      </c>
      <c r="AH148">
        <f t="shared" ref="AH148:AH211" si="179">IMABS(AG148)</f>
        <v>5.6321455085743386</v>
      </c>
      <c r="AI148">
        <f t="shared" ref="AI148:AI211" si="180">IMARGUMENT(AG148)</f>
        <v>1.3922977251088018</v>
      </c>
      <c r="AJ148" t="str">
        <f t="shared" si="162"/>
        <v>1+0,018955343526409i</v>
      </c>
      <c r="AK148">
        <f t="shared" ref="AK148:AK211" si="181">IMABS(AJ148)</f>
        <v>1.0001796363894859</v>
      </c>
      <c r="AL148">
        <f t="shared" ref="AL148:AL211" si="182">IMARGUMENT(AJ148)</f>
        <v>1.8953073765504345E-2</v>
      </c>
      <c r="AM148" t="str">
        <f t="shared" si="163"/>
        <v>1-0,00157611501032636i</v>
      </c>
      <c r="AN148">
        <f t="shared" ref="AN148:AN211" si="183">IMABS(AM148)</f>
        <v>1.0000012420684916</v>
      </c>
      <c r="AO148">
        <f t="shared" ref="AO148:AO211" si="184">IMARGUMENT(AM148)</f>
        <v>-1.5761137052322993E-3</v>
      </c>
      <c r="AP148" s="41" t="str">
        <f t="shared" ref="AP148:AP211" si="185">(IMDIV(IMPRODUCT(AF148,AJ148,AM148),IMPRODUCT(AG148)))</f>
        <v>5,91935878606699-29,8325183828273i</v>
      </c>
      <c r="AQ148">
        <f t="shared" ref="AQ148:AQ211" si="186">20*LOG(IMABS(AP148))</f>
        <v>29.661501657169424</v>
      </c>
      <c r="AR148" s="43">
        <f t="shared" ref="AR148:AR211" si="187">(180/PI())*IMARGUMENT(AP148)</f>
        <v>-78.77715700217901</v>
      </c>
      <c r="AS148" t="str">
        <f t="shared" si="164"/>
        <v>-0,0000166666666666667</v>
      </c>
      <c r="AT148" t="str">
        <f t="shared" si="165"/>
        <v>0,0000019218612186498i</v>
      </c>
      <c r="AU148">
        <f t="shared" ref="AU148:AU211" si="188">IMABS(AT148)</f>
        <v>1.9218612186498E-6</v>
      </c>
      <c r="AV148">
        <f t="shared" ref="AV148:AV211" si="189">IMARGUMENT(AT148)</f>
        <v>1.5707963267948966</v>
      </c>
      <c r="AW148" t="str">
        <f t="shared" si="166"/>
        <v>1+0,00890564939076618i</v>
      </c>
      <c r="AX148">
        <f t="shared" ref="AX148:AX211" si="190">IMABS(AW148)</f>
        <v>1.0000396545092956</v>
      </c>
      <c r="AY148">
        <f t="shared" ref="AY148:AY211" si="191">IMARGUMENT(AW148)</f>
        <v>8.9054139645301355E-3</v>
      </c>
      <c r="AZ148" t="str">
        <f t="shared" si="167"/>
        <v>1+0,413707894425593i</v>
      </c>
      <c r="BA148">
        <f t="shared" ref="BA148:BA211" si="192">IMABS(AZ148)</f>
        <v>1.0821987903846768</v>
      </c>
      <c r="BB148">
        <f t="shared" ref="BB148:BB211" si="193">IMARGUMENT(AZ148)</f>
        <v>0.39226738995631483</v>
      </c>
      <c r="BC148" s="41" t="str">
        <f t="shared" ref="BC148:BC211" si="194">IMPRODUCT(AS148,IMDIV(AZ148,IMPRODUCT(AT148,AW148)))</f>
        <v>-3,51022694864469+8,70340975745915i</v>
      </c>
      <c r="BD148">
        <f t="shared" ref="BD148:BD211" si="195">20*LOG(IMABS(BC148))</f>
        <v>19.448330983597817</v>
      </c>
      <c r="BE148" s="43">
        <f t="shared" ref="BE148:BE211" si="196">(180/PI())*IMARGUMENT(BC148)</f>
        <v>111.96502325012482</v>
      </c>
      <c r="BF148" s="41" t="str">
        <f t="shared" ref="BF148:BF211" si="197">IMPRODUCT(AC148,BC148)</f>
        <v>75,7733746422675+48,9397986374626i</v>
      </c>
      <c r="BG148" s="20">
        <f t="shared" ref="BG148:BG211" si="198">20*LOG(IMABS(BF148))</f>
        <v>39.10448741284975</v>
      </c>
      <c r="BH148" s="43">
        <f t="shared" ref="BH148:BH211" si="199">(180/PI())*IMARGUMENT(BF148)</f>
        <v>32.857230649845597</v>
      </c>
      <c r="BI148" s="41" t="str">
        <f t="shared" si="152"/>
        <v>238,86633885313+156,237514989895i</v>
      </c>
      <c r="BJ148" s="20">
        <f t="shared" ref="BJ148:BJ211" si="200">20*LOG(IMABS(BI148))</f>
        <v>49.109832640767252</v>
      </c>
      <c r="BK148" s="43">
        <f t="shared" si="153"/>
        <v>33.187866247945671</v>
      </c>
      <c r="BL148">
        <f t="shared" ref="BL148:BL211" si="201">IF($B$31=0,BJ148,BG148)</f>
        <v>39.10448741284975</v>
      </c>
      <c r="BM148" s="43">
        <f t="shared" ref="BM148:BM211" si="202">IF($B$31=0,BK148,BH148)</f>
        <v>32.857230649845597</v>
      </c>
    </row>
    <row r="149" spans="14:65" x14ac:dyDescent="0.25">
      <c r="N149" s="9">
        <v>31</v>
      </c>
      <c r="O149" s="34">
        <f t="shared" si="154"/>
        <v>204.17379446695315</v>
      </c>
      <c r="P149" s="33" t="str">
        <f t="shared" si="155"/>
        <v>54,631621870174</v>
      </c>
      <c r="Q149" s="4" t="str">
        <f t="shared" si="156"/>
        <v>1+5,72656692688492i</v>
      </c>
      <c r="R149" s="4">
        <f t="shared" si="168"/>
        <v>5.8132236124281507</v>
      </c>
      <c r="S149" s="4">
        <f t="shared" si="169"/>
        <v>1.3979148368631871</v>
      </c>
      <c r="T149" s="4" t="str">
        <f t="shared" si="157"/>
        <v>1+0,0193968701968486i</v>
      </c>
      <c r="U149" s="4">
        <f t="shared" si="170"/>
        <v>1.0001881015956116</v>
      </c>
      <c r="V149" s="4">
        <f t="shared" si="171"/>
        <v>1.9394438128923677E-2</v>
      </c>
      <c r="W149" t="str">
        <f t="shared" si="158"/>
        <v>1-0,00510494173323199i</v>
      </c>
      <c r="X149" s="4">
        <f t="shared" si="172"/>
        <v>1.0000130301301577</v>
      </c>
      <c r="Y149" s="4">
        <f t="shared" si="173"/>
        <v>-5.1048973882663095E-3</v>
      </c>
      <c r="Z149" t="str">
        <f t="shared" si="159"/>
        <v>0,999999833252247+0,000701377705159746i</v>
      </c>
      <c r="AA149" s="4">
        <f t="shared" si="174"/>
        <v>1.0000000792176005</v>
      </c>
      <c r="AB149" s="4">
        <f t="shared" si="175"/>
        <v>7.0137770710315987E-4</v>
      </c>
      <c r="AC149" s="47" t="str">
        <f t="shared" si="176"/>
        <v>1,74262045794564-9,23676289255463i</v>
      </c>
      <c r="AD149" s="20">
        <f t="shared" si="177"/>
        <v>19.462287462582324</v>
      </c>
      <c r="AE149" s="43">
        <f t="shared" si="178"/>
        <v>-79.316075877821262</v>
      </c>
      <c r="AF149" t="str">
        <f t="shared" si="160"/>
        <v>171,265703090588</v>
      </c>
      <c r="AG149" t="str">
        <f t="shared" si="161"/>
        <v>1+5,67176358154379i</v>
      </c>
      <c r="AH149">
        <f t="shared" si="179"/>
        <v>5.7592449266311334</v>
      </c>
      <c r="AI149">
        <f t="shared" si="180"/>
        <v>1.3962779272983297</v>
      </c>
      <c r="AJ149" t="str">
        <f t="shared" si="162"/>
        <v>1+0,0193968701968486i</v>
      </c>
      <c r="AK149">
        <f t="shared" si="181"/>
        <v>1.0001881015956116</v>
      </c>
      <c r="AL149">
        <f t="shared" si="182"/>
        <v>1.9394438128923677E-2</v>
      </c>
      <c r="AM149" t="str">
        <f t="shared" si="163"/>
        <v>1-0,00161282744509546i</v>
      </c>
      <c r="AN149">
        <f t="shared" si="183"/>
        <v>1.0000013006053381</v>
      </c>
      <c r="AO149">
        <f t="shared" si="184"/>
        <v>-1.6128260466620767E-3</v>
      </c>
      <c r="AP149" s="41" t="str">
        <f t="shared" si="185"/>
        <v>5,68442387314025-29,1949117200629i</v>
      </c>
      <c r="AQ149">
        <f t="shared" si="186"/>
        <v>29.467742040571277</v>
      </c>
      <c r="AR149" s="43">
        <f t="shared" si="187"/>
        <v>-78.982020936216259</v>
      </c>
      <c r="AS149" t="str">
        <f t="shared" si="164"/>
        <v>-0,0000166666666666667</v>
      </c>
      <c r="AT149" t="str">
        <f t="shared" si="165"/>
        <v>1,96662711718049E-06i</v>
      </c>
      <c r="AU149">
        <f t="shared" si="188"/>
        <v>1.96662711718049E-6</v>
      </c>
      <c r="AV149">
        <f t="shared" si="189"/>
        <v>1.5707963267948966</v>
      </c>
      <c r="AW149" t="str">
        <f t="shared" si="166"/>
        <v>1+0,00911308861328037i</v>
      </c>
      <c r="AX149">
        <f t="shared" si="190"/>
        <v>1.0000415233299433</v>
      </c>
      <c r="AY149">
        <f t="shared" si="191"/>
        <v>9.1128363500891964E-3</v>
      </c>
      <c r="AZ149" t="str">
        <f t="shared" si="167"/>
        <v>1+0,423344389216934i</v>
      </c>
      <c r="BA149">
        <f t="shared" si="192"/>
        <v>1.0859191829420176</v>
      </c>
      <c r="BB149">
        <f t="shared" si="193"/>
        <v>0.40046749487025302</v>
      </c>
      <c r="BC149" s="41" t="str">
        <f t="shared" si="194"/>
        <v>-3,51021382923251+8,50673558724213i</v>
      </c>
      <c r="BD149">
        <f t="shared" si="195"/>
        <v>19.278123970091706</v>
      </c>
      <c r="BE149" s="43">
        <f t="shared" si="196"/>
        <v>112.42297022598896</v>
      </c>
      <c r="BF149" s="41" t="str">
        <f t="shared" si="197"/>
        <v>72,4577291784277+47,2470243074493i</v>
      </c>
      <c r="BG149" s="20">
        <f t="shared" si="198"/>
        <v>38.74041143267403</v>
      </c>
      <c r="BH149" s="43">
        <f t="shared" si="199"/>
        <v>33.106894348167728</v>
      </c>
      <c r="BI149" s="41" t="str">
        <f t="shared" si="152"/>
        <v>228,399851204735+150,836273717598i</v>
      </c>
      <c r="BJ149" s="20">
        <f t="shared" si="200"/>
        <v>48.745866010662979</v>
      </c>
      <c r="BK149" s="43">
        <f t="shared" si="153"/>
        <v>33.440949289772718</v>
      </c>
      <c r="BL149">
        <f t="shared" si="201"/>
        <v>38.74041143267403</v>
      </c>
      <c r="BM149" s="43">
        <f t="shared" si="202"/>
        <v>33.106894348167728</v>
      </c>
    </row>
    <row r="150" spans="14:65" x14ac:dyDescent="0.25">
      <c r="N150" s="9">
        <v>32</v>
      </c>
      <c r="O150" s="34">
        <f t="shared" si="154"/>
        <v>208.92961308540396</v>
      </c>
      <c r="P150" s="33" t="str">
        <f t="shared" si="155"/>
        <v>54,631621870174</v>
      </c>
      <c r="Q150" s="4" t="str">
        <f t="shared" si="156"/>
        <v>1+5,85995580610811i</v>
      </c>
      <c r="R150" s="4">
        <f t="shared" si="168"/>
        <v>5.9446683717041902</v>
      </c>
      <c r="S150" s="4">
        <f t="shared" si="169"/>
        <v>1.4017747367516669</v>
      </c>
      <c r="T150" s="4" t="str">
        <f t="shared" si="157"/>
        <v>1+0,0198486813446147i</v>
      </c>
      <c r="U150" s="4">
        <f t="shared" si="170"/>
        <v>1.0001969656778209</v>
      </c>
      <c r="V150" s="4">
        <f t="shared" si="171"/>
        <v>1.9846075364597687E-2</v>
      </c>
      <c r="W150" t="str">
        <f t="shared" si="158"/>
        <v>1-0,00522385110161789i</v>
      </c>
      <c r="X150" s="4">
        <f t="shared" si="172"/>
        <v>1.0000136442170835</v>
      </c>
      <c r="Y150" s="4">
        <f t="shared" si="173"/>
        <v>-5.2238035851660883E-3</v>
      </c>
      <c r="Z150" t="str">
        <f t="shared" si="159"/>
        <v>0,999999825393667+0,000717714890631929i</v>
      </c>
      <c r="AA150" s="4">
        <f t="shared" si="174"/>
        <v>1.0000000829510109</v>
      </c>
      <c r="AB150" s="4">
        <f t="shared" si="175"/>
        <v>7.1771489271433469E-4</v>
      </c>
      <c r="AC150" s="47" t="str">
        <f t="shared" si="176"/>
        <v>1,67208713217031-9,03859276234025i</v>
      </c>
      <c r="AD150" s="20">
        <f t="shared" si="177"/>
        <v>19.268157677032665</v>
      </c>
      <c r="AE150" s="43">
        <f t="shared" si="178"/>
        <v>-79.519103818324055</v>
      </c>
      <c r="AF150" t="str">
        <f t="shared" si="160"/>
        <v>171,265703090588</v>
      </c>
      <c r="AG150" t="str">
        <f t="shared" si="161"/>
        <v>1+5,80387592686698i</v>
      </c>
      <c r="AH150">
        <f t="shared" si="179"/>
        <v>5.889395195982865</v>
      </c>
      <c r="AI150">
        <f t="shared" si="180"/>
        <v>1.4001729344049418</v>
      </c>
      <c r="AJ150" t="str">
        <f t="shared" si="162"/>
        <v>1+0,0198486813446147i</v>
      </c>
      <c r="AK150">
        <f t="shared" si="181"/>
        <v>1.0001969656778209</v>
      </c>
      <c r="AL150">
        <f t="shared" si="182"/>
        <v>1.9846075364597687E-2</v>
      </c>
      <c r="AM150" t="str">
        <f t="shared" si="163"/>
        <v>1-0,00165039502232427i</v>
      </c>
      <c r="AN150">
        <f t="shared" si="183"/>
        <v>1.0000013619009374</v>
      </c>
      <c r="AO150">
        <f t="shared" si="184"/>
        <v>-1.6503935238760131E-3</v>
      </c>
      <c r="AP150" s="41" t="str">
        <f t="shared" si="185"/>
        <v>5,45943870017451-28,5691625441179i</v>
      </c>
      <c r="AQ150">
        <f t="shared" si="186"/>
        <v>29.273716563687305</v>
      </c>
      <c r="AR150" s="43">
        <f t="shared" si="187"/>
        <v>-79.181463955014848</v>
      </c>
      <c r="AS150" t="str">
        <f t="shared" si="164"/>
        <v>-0,0000166666666666667</v>
      </c>
      <c r="AT150" t="str">
        <f t="shared" si="165"/>
        <v>0,0000020124357474401i</v>
      </c>
      <c r="AU150">
        <f t="shared" si="188"/>
        <v>2.0124357474400999E-6</v>
      </c>
      <c r="AV150">
        <f t="shared" si="189"/>
        <v>1.5707963267948966</v>
      </c>
      <c r="AW150" t="str">
        <f t="shared" si="166"/>
        <v>1+0,00932535971600339i</v>
      </c>
      <c r="AX150">
        <f t="shared" si="190"/>
        <v>1.0000434802216516</v>
      </c>
      <c r="AY150">
        <f t="shared" si="191"/>
        <v>9.3250894117587781E-3</v>
      </c>
      <c r="AZ150" t="str">
        <f t="shared" si="167"/>
        <v>1+0,433205346807067i</v>
      </c>
      <c r="BA150">
        <f t="shared" si="192"/>
        <v>1.089801299550625</v>
      </c>
      <c r="BB150">
        <f t="shared" si="193"/>
        <v>0.40880007099778731</v>
      </c>
      <c r="BC150" s="41" t="str">
        <f t="shared" si="194"/>
        <v>-3,51020009162661+8,3145717895622i</v>
      </c>
      <c r="BD150">
        <f t="shared" si="195"/>
        <v>19.109103300873944</v>
      </c>
      <c r="BE150" s="43">
        <f t="shared" si="196"/>
        <v>112.88823046594574</v>
      </c>
      <c r="BF150" s="41" t="str">
        <f t="shared" si="197"/>
        <v>69,2826679945434+45,6299576413756i</v>
      </c>
      <c r="BG150" s="20">
        <f t="shared" si="198"/>
        <v>38.377260977906602</v>
      </c>
      <c r="BH150" s="43">
        <f t="shared" si="199"/>
        <v>33.369126647621705</v>
      </c>
      <c r="BI150" s="41" t="str">
        <f t="shared" si="152"/>
        <v>218,376630715157+145,676371983373i</v>
      </c>
      <c r="BJ150" s="20">
        <f t="shared" si="200"/>
        <v>48.382819864561235</v>
      </c>
      <c r="BK150" s="43">
        <f t="shared" si="153"/>
        <v>33.706766510930883</v>
      </c>
      <c r="BL150">
        <f t="shared" si="201"/>
        <v>38.377260977906602</v>
      </c>
      <c r="BM150" s="43">
        <f t="shared" si="202"/>
        <v>33.369126647621705</v>
      </c>
    </row>
    <row r="151" spans="14:65" x14ac:dyDescent="0.25">
      <c r="N151" s="9">
        <v>33</v>
      </c>
      <c r="O151" s="34">
        <f t="shared" si="154"/>
        <v>213.79620895022339</v>
      </c>
      <c r="P151" s="33" t="str">
        <f t="shared" si="155"/>
        <v>54,631621870174</v>
      </c>
      <c r="Q151" s="4" t="str">
        <f t="shared" si="156"/>
        <v>1+5,99645171146533i</v>
      </c>
      <c r="R151" s="4">
        <f t="shared" si="168"/>
        <v>6.0792625480345466</v>
      </c>
      <c r="S151" s="4">
        <f t="shared" si="169"/>
        <v>1.4055516944781656</v>
      </c>
      <c r="T151" s="4" t="str">
        <f t="shared" si="157"/>
        <v>1+0,0203110165259579i</v>
      </c>
      <c r="U151" s="4">
        <f t="shared" si="170"/>
        <v>1.0002062474271582</v>
      </c>
      <c r="V151" s="4">
        <f t="shared" si="171"/>
        <v>2.030822419915787E-2</v>
      </c>
      <c r="W151" t="str">
        <f t="shared" si="158"/>
        <v>1-0,00534553022500367i</v>
      </c>
      <c r="X151" s="4">
        <f t="shared" si="172"/>
        <v>1.0000142872446305</v>
      </c>
      <c r="Y151" s="4">
        <f t="shared" si="173"/>
        <v>-5.3454793102475353E-3</v>
      </c>
      <c r="Z151" t="str">
        <f t="shared" si="159"/>
        <v>0,999999817164724+0,000734432618039199i</v>
      </c>
      <c r="AA151" s="4">
        <f t="shared" si="174"/>
        <v>1.0000000868603722</v>
      </c>
      <c r="AB151" s="4">
        <f t="shared" si="175"/>
        <v>7.3443262027053657E-4</v>
      </c>
      <c r="AC151" s="47" t="str">
        <f t="shared" si="176"/>
        <v>1,60455248436054-8,84416058821295i</v>
      </c>
      <c r="AD151" s="20">
        <f t="shared" si="177"/>
        <v>19.073778477776461</v>
      </c>
      <c r="AE151" s="43">
        <f t="shared" si="178"/>
        <v>-79.716957738472985</v>
      </c>
      <c r="AF151" t="str">
        <f t="shared" si="160"/>
        <v>171,265703090588</v>
      </c>
      <c r="AG151" t="str">
        <f t="shared" si="161"/>
        <v>1+5,93906556402993i</v>
      </c>
      <c r="AH151">
        <f t="shared" si="179"/>
        <v>6.022665504064304</v>
      </c>
      <c r="AI151">
        <f t="shared" si="180"/>
        <v>1.4039843386455386</v>
      </c>
      <c r="AJ151" t="str">
        <f t="shared" si="162"/>
        <v>1+0,0203110165259579i</v>
      </c>
      <c r="AK151">
        <f t="shared" si="181"/>
        <v>1.0002062474271582</v>
      </c>
      <c r="AL151">
        <f t="shared" si="182"/>
        <v>2.030822419915787E-2</v>
      </c>
      <c r="AM151" t="str">
        <f t="shared" si="163"/>
        <v>1-0,00168883766083946i</v>
      </c>
      <c r="AN151">
        <f t="shared" si="183"/>
        <v>1.0000014260853054</v>
      </c>
      <c r="AO151">
        <f t="shared" si="184"/>
        <v>-1.6888360552233487E-3</v>
      </c>
      <c r="AP151" s="41" t="str">
        <f t="shared" si="185"/>
        <v>5,24400804204001-27,9551670235626i</v>
      </c>
      <c r="AQ151">
        <f t="shared" si="186"/>
        <v>29.079436813546504</v>
      </c>
      <c r="AR151" s="43">
        <f t="shared" si="187"/>
        <v>-79.375564749092092</v>
      </c>
      <c r="AS151" t="str">
        <f t="shared" si="164"/>
        <v>-0,0000166666666666667</v>
      </c>
      <c r="AT151" t="str">
        <f t="shared" si="165"/>
        <v>2,05931139777073E-06i</v>
      </c>
      <c r="AU151">
        <f t="shared" si="188"/>
        <v>2.0593113977707302E-6</v>
      </c>
      <c r="AV151">
        <f t="shared" si="189"/>
        <v>1.5707963267948966</v>
      </c>
      <c r="AW151" t="str">
        <f t="shared" si="166"/>
        <v>1+0,00954257524788349i</v>
      </c>
      <c r="AX151">
        <f t="shared" si="190"/>
        <v>1.0000455293347206</v>
      </c>
      <c r="AY151">
        <f t="shared" si="191"/>
        <v>9.5422856123792768E-3</v>
      </c>
      <c r="AZ151" t="str">
        <f t="shared" si="167"/>
        <v>1+0,443295995606224i</v>
      </c>
      <c r="BA151">
        <f t="shared" si="192"/>
        <v>1.0938516077240612</v>
      </c>
      <c r="BB151">
        <f t="shared" si="193"/>
        <v>0.41726490696197571</v>
      </c>
      <c r="BC151" s="41" t="str">
        <f t="shared" si="194"/>
        <v>-3,51018570670251+8,12681647582428i</v>
      </c>
      <c r="BD151">
        <f t="shared" si="195"/>
        <v>18.941307263469149</v>
      </c>
      <c r="BE151" s="43">
        <f t="shared" si="196"/>
        <v>113.36078541534241</v>
      </c>
      <c r="BF151" s="41" t="str">
        <f t="shared" si="197"/>
        <v>66,2425927868684+44,0845496507528i</v>
      </c>
      <c r="BG151" s="20">
        <f t="shared" si="198"/>
        <v>38.015085741245613</v>
      </c>
      <c r="BH151" s="43">
        <f t="shared" si="199"/>
        <v>33.643827676869449</v>
      </c>
      <c r="BI151" s="41" t="str">
        <f t="shared" si="152"/>
        <v>208,779069876506+140,744918669997i</v>
      </c>
      <c r="BJ151" s="20">
        <f t="shared" si="200"/>
        <v>48.020744077015664</v>
      </c>
      <c r="BK151" s="43">
        <f t="shared" si="153"/>
        <v>33.985220666250441</v>
      </c>
      <c r="BL151">
        <f t="shared" si="201"/>
        <v>38.015085741245613</v>
      </c>
      <c r="BM151" s="43">
        <f t="shared" si="202"/>
        <v>33.643827676869449</v>
      </c>
    </row>
    <row r="152" spans="14:65" x14ac:dyDescent="0.25">
      <c r="N152" s="9">
        <v>34</v>
      </c>
      <c r="O152" s="34">
        <f t="shared" si="154"/>
        <v>218.77616239495524</v>
      </c>
      <c r="P152" s="33" t="str">
        <f t="shared" si="155"/>
        <v>54,631621870174</v>
      </c>
      <c r="Q152" s="4" t="str">
        <f t="shared" si="156"/>
        <v>1+6,13612701489241i</v>
      </c>
      <c r="R152" s="4">
        <f t="shared" si="168"/>
        <v>6.217077669041335</v>
      </c>
      <c r="S152" s="4">
        <f t="shared" si="169"/>
        <v>1.4092472813800103</v>
      </c>
      <c r="T152" s="4" t="str">
        <f t="shared" si="157"/>
        <v>1+0,0207841208771113i</v>
      </c>
      <c r="U152" s="4">
        <f t="shared" si="170"/>
        <v>1.0002159665195485</v>
      </c>
      <c r="V152" s="4">
        <f t="shared" si="171"/>
        <v>2.0781128879929295E-2</v>
      </c>
      <c r="W152" t="str">
        <f t="shared" si="158"/>
        <v>1-0,00547004361927122i</v>
      </c>
      <c r="X152" s="4">
        <f t="shared" si="172"/>
        <v>1.000014960576689</v>
      </c>
      <c r="Y152" s="4">
        <f t="shared" si="173"/>
        <v>-5.4699890631711816E-3</v>
      </c>
      <c r="Z152" t="str">
        <f t="shared" si="159"/>
        <v>0,999999808547963+0,00075153975134192i</v>
      </c>
      <c r="AA152" s="4">
        <f t="shared" si="174"/>
        <v>1.0000000909539761</v>
      </c>
      <c r="AB152" s="4">
        <f t="shared" si="175"/>
        <v>7.5153975373284108E-4</v>
      </c>
      <c r="AC152" s="47" t="str">
        <f t="shared" si="176"/>
        <v>1,53989640908552-8,65342988616311i</v>
      </c>
      <c r="AD152" s="20">
        <f t="shared" si="177"/>
        <v>18.879160829660954</v>
      </c>
      <c r="AE152" s="43">
        <f t="shared" si="178"/>
        <v>-79.909717878349994</v>
      </c>
      <c r="AF152" t="str">
        <f t="shared" si="160"/>
        <v>171,265703090588</v>
      </c>
      <c r="AG152" t="str">
        <f t="shared" si="161"/>
        <v>1+6,07740417236778i</v>
      </c>
      <c r="AH152">
        <f t="shared" si="179"/>
        <v>6.1591266811385932</v>
      </c>
      <c r="AI152">
        <f t="shared" si="180"/>
        <v>1.4077137177147037</v>
      </c>
      <c r="AJ152" t="str">
        <f t="shared" si="162"/>
        <v>1+0,0207841208771113i</v>
      </c>
      <c r="AK152">
        <f t="shared" si="181"/>
        <v>1.0002159665195485</v>
      </c>
      <c r="AL152">
        <f t="shared" si="182"/>
        <v>2.0781128879929295E-2</v>
      </c>
      <c r="AM152" t="str">
        <f t="shared" si="163"/>
        <v>1-0,00172817574343684i</v>
      </c>
      <c r="AN152">
        <f t="shared" si="183"/>
        <v>1.0000014932945851</v>
      </c>
      <c r="AO152">
        <f t="shared" si="184"/>
        <v>-1.7281740229883186E-3</v>
      </c>
      <c r="AP152" s="41" t="str">
        <f t="shared" si="185"/>
        <v>5,03775012376491-27,3528137801407i</v>
      </c>
      <c r="AQ152">
        <f t="shared" si="186"/>
        <v>28.884913929820762</v>
      </c>
      <c r="AR152" s="43">
        <f t="shared" si="187"/>
        <v>-79.564400887167054</v>
      </c>
      <c r="AS152" t="str">
        <f t="shared" si="164"/>
        <v>-0,0000166666666666667</v>
      </c>
      <c r="AT152" t="str">
        <f t="shared" si="165"/>
        <v>2,10727892226267E-06i</v>
      </c>
      <c r="AU152">
        <f t="shared" si="188"/>
        <v>2.1072789222626701E-6</v>
      </c>
      <c r="AV152">
        <f t="shared" si="189"/>
        <v>1.5707963267948966</v>
      </c>
      <c r="AW152" t="str">
        <f t="shared" si="166"/>
        <v>1+0,00976485037947097i</v>
      </c>
      <c r="AX152">
        <f t="shared" si="190"/>
        <v>1.0000476750150131</v>
      </c>
      <c r="AY152">
        <f t="shared" si="191"/>
        <v>9.7645400302357917E-3</v>
      </c>
      <c r="AZ152" t="str">
        <f t="shared" si="167"/>
        <v>1+0,45362168580997i</v>
      </c>
      <c r="BA152">
        <f t="shared" si="192"/>
        <v>1.0980767886796803</v>
      </c>
      <c r="BB152">
        <f t="shared" si="193"/>
        <v>0.42586163760511986</v>
      </c>
      <c r="BC152" s="41" t="str">
        <f t="shared" si="194"/>
        <v>-3,51017064396421+7,94337009481217i</v>
      </c>
      <c r="BD152">
        <f t="shared" si="195"/>
        <v>18.774774667155594</v>
      </c>
      <c r="BE152" s="43">
        <f t="shared" si="196"/>
        <v>113.84060755868404</v>
      </c>
      <c r="BF152" s="41" t="str">
        <f t="shared" si="197"/>
        <v>63,332097005384+42,6069826410509i</v>
      </c>
      <c r="BG152" s="20">
        <f t="shared" si="198"/>
        <v>37.653935496816551</v>
      </c>
      <c r="BH152" s="43">
        <f t="shared" si="199"/>
        <v>33.93088968033409</v>
      </c>
      <c r="BI152" s="41" t="str">
        <f t="shared" si="152"/>
        <v>199,590160394069+136,02975763912i</v>
      </c>
      <c r="BJ152" s="20">
        <f t="shared" si="200"/>
        <v>47.659688596976352</v>
      </c>
      <c r="BK152" s="43">
        <f t="shared" si="153"/>
        <v>34.276206671517023</v>
      </c>
      <c r="BL152">
        <f t="shared" si="201"/>
        <v>37.653935496816551</v>
      </c>
      <c r="BM152" s="43">
        <f t="shared" si="202"/>
        <v>33.93088968033409</v>
      </c>
    </row>
    <row r="153" spans="14:65" x14ac:dyDescent="0.25">
      <c r="N153" s="9">
        <v>35</v>
      </c>
      <c r="O153" s="34">
        <f t="shared" si="154"/>
        <v>223.87211385683412</v>
      </c>
      <c r="P153" s="33" t="str">
        <f t="shared" si="155"/>
        <v>54,631621870174</v>
      </c>
      <c r="Q153" s="4" t="str">
        <f t="shared" si="156"/>
        <v>1+6,27905577408404i</v>
      </c>
      <c r="R153" s="4">
        <f t="shared" si="168"/>
        <v>6.3581869596653195</v>
      </c>
      <c r="S153" s="4">
        <f t="shared" si="169"/>
        <v>1.4128630529261583</v>
      </c>
      <c r="T153" s="4" t="str">
        <f t="shared" si="157"/>
        <v>1+0,0212682452442642i</v>
      </c>
      <c r="U153" s="4">
        <f t="shared" si="170"/>
        <v>1.0002261435574309</v>
      </c>
      <c r="V153" s="4">
        <f t="shared" si="171"/>
        <v>2.126503930066943E-2</v>
      </c>
      <c r="W153" t="str">
        <f t="shared" si="158"/>
        <v>1-0,00559745730307031i</v>
      </c>
      <c r="X153" s="4">
        <f t="shared" si="172"/>
        <v>1.0000156656414236</v>
      </c>
      <c r="Y153" s="4">
        <f t="shared" si="173"/>
        <v>-5.5973988452053597E-3</v>
      </c>
      <c r="Z153" t="str">
        <f t="shared" si="159"/>
        <v>0,999999799525107+0,000769045360968609i</v>
      </c>
      <c r="AA153" s="4">
        <f t="shared" si="174"/>
        <v>1.0000000952405064</v>
      </c>
      <c r="AB153" s="4">
        <f t="shared" si="175"/>
        <v>7.6904536353052631E-4</v>
      </c>
      <c r="AC153" s="47" t="str">
        <f t="shared" si="176"/>
        <v>1,47800297588724-8,46636208241997i</v>
      </c>
      <c r="AD153" s="20">
        <f t="shared" si="177"/>
        <v>18.684315273070304</v>
      </c>
      <c r="AE153" s="43">
        <f t="shared" si="178"/>
        <v>-80.097463343195358</v>
      </c>
      <c r="AF153" t="str">
        <f t="shared" si="160"/>
        <v>171,265703090588</v>
      </c>
      <c r="AG153" t="str">
        <f t="shared" si="161"/>
        <v>1+6,21896510084178i</v>
      </c>
      <c r="AH153">
        <f t="shared" si="179"/>
        <v>6.2988512385583464</v>
      </c>
      <c r="AI153">
        <f t="shared" si="180"/>
        <v>1.4113626338154364</v>
      </c>
      <c r="AJ153" t="str">
        <f t="shared" si="162"/>
        <v>1+0,0212682452442642i</v>
      </c>
      <c r="AK153">
        <f t="shared" si="181"/>
        <v>1.0002261435574309</v>
      </c>
      <c r="AL153">
        <f t="shared" si="182"/>
        <v>2.126503930066943E-2</v>
      </c>
      <c r="AM153" t="str">
        <f t="shared" si="163"/>
        <v>1-0,00176843012768851i</v>
      </c>
      <c r="AN153">
        <f t="shared" si="183"/>
        <v>1.0000015636713357</v>
      </c>
      <c r="AO153">
        <f t="shared" si="184"/>
        <v>-1.7684282841948613E-3</v>
      </c>
      <c r="AP153" s="41" t="str">
        <f t="shared" si="185"/>
        <v>4,84029636131046-26,7619846026444i</v>
      </c>
      <c r="AQ153">
        <f t="shared" si="186"/>
        <v>28.690158620793902</v>
      </c>
      <c r="AR153" s="43">
        <f t="shared" si="187"/>
        <v>-79.748048754040127</v>
      </c>
      <c r="AS153" t="str">
        <f t="shared" si="164"/>
        <v>-0,0000166666666666667</v>
      </c>
      <c r="AT153" t="str">
        <f t="shared" si="165"/>
        <v>2,15636375393234E-06i</v>
      </c>
      <c r="AU153">
        <f t="shared" si="188"/>
        <v>2.1563637539323401E-6</v>
      </c>
      <c r="AV153">
        <f t="shared" si="189"/>
        <v>1.5707963267948966</v>
      </c>
      <c r="AW153" t="str">
        <f t="shared" si="166"/>
        <v>1+0,00999230296398273i</v>
      </c>
      <c r="AX153">
        <f t="shared" si="190"/>
        <v>1.0000499218131682</v>
      </c>
      <c r="AY153">
        <f t="shared" si="191"/>
        <v>9.991970419682434E-3</v>
      </c>
      <c r="AZ153" t="str">
        <f t="shared" si="167"/>
        <v>1+0,464187892235925i</v>
      </c>
      <c r="BA153">
        <f t="shared" si="192"/>
        <v>1.1024837410585384</v>
      </c>
      <c r="BB153">
        <f t="shared" si="193"/>
        <v>0.4345897373397371</v>
      </c>
      <c r="BC153" s="41" t="str">
        <f t="shared" si="194"/>
        <v>-3,51015487147946+7,76413537990108i</v>
      </c>
      <c r="BD153">
        <f t="shared" si="195"/>
        <v>18.609544791632974</v>
      </c>
      <c r="BE153" s="43">
        <f t="shared" si="196"/>
        <v>114.3276600351986</v>
      </c>
      <c r="BF153" s="41" t="str">
        <f t="shared" si="197"/>
        <v>60,5459620372981+41,1936573040006i</v>
      </c>
      <c r="BG153" s="20">
        <f t="shared" si="198"/>
        <v>37.293860064703267</v>
      </c>
      <c r="BH153" s="43">
        <f t="shared" si="199"/>
        <v>34.230196692003247</v>
      </c>
      <c r="BI153" s="41" t="str">
        <f t="shared" si="152"/>
        <v>190,793481637701+131,519426851488i</v>
      </c>
      <c r="BJ153" s="20">
        <f t="shared" si="200"/>
        <v>47.299703412426879</v>
      </c>
      <c r="BK153" s="43">
        <f t="shared" si="153"/>
        <v>34.579611281158591</v>
      </c>
      <c r="BL153">
        <f t="shared" si="201"/>
        <v>37.293860064703267</v>
      </c>
      <c r="BM153" s="43">
        <f t="shared" si="202"/>
        <v>34.230196692003247</v>
      </c>
    </row>
    <row r="154" spans="14:65" x14ac:dyDescent="0.25">
      <c r="N154" s="9">
        <v>36</v>
      </c>
      <c r="O154" s="34">
        <f t="shared" si="154"/>
        <v>229.08676527677744</v>
      </c>
      <c r="P154" s="33" t="str">
        <f t="shared" si="155"/>
        <v>54,631621870174</v>
      </c>
      <c r="Q154" s="4" t="str">
        <f t="shared" si="156"/>
        <v>1+6,4253137717602i</v>
      </c>
      <c r="R154" s="4">
        <f t="shared" si="168"/>
        <v>6.5026653816393836</v>
      </c>
      <c r="S154" s="4">
        <f t="shared" si="169"/>
        <v>1.4164005478789181</v>
      </c>
      <c r="T154" s="4" t="str">
        <f t="shared" si="157"/>
        <v>1+0,021763646316564i</v>
      </c>
      <c r="U154" s="4">
        <f t="shared" si="170"/>
        <v>1.0002368001133493</v>
      </c>
      <c r="V154" s="4">
        <f t="shared" si="171"/>
        <v>2.1760211130033007E-2</v>
      </c>
      <c r="W154" t="str">
        <f t="shared" si="158"/>
        <v>1-0,00572783883282257i</v>
      </c>
      <c r="X154" s="4">
        <f t="shared" si="172"/>
        <v>1.0000164039343029</v>
      </c>
      <c r="Y154" s="4">
        <f t="shared" si="173"/>
        <v>-5.7277761941472273E-3</v>
      </c>
      <c r="Z154" t="str">
        <f t="shared" si="159"/>
        <v>0,999999790077016+0,0007869587286252i</v>
      </c>
      <c r="AA154" s="4">
        <f t="shared" si="174"/>
        <v>1.0000000997290535</v>
      </c>
      <c r="AB154" s="4">
        <f t="shared" si="175"/>
        <v>7.8695873137034399E-4</v>
      </c>
      <c r="AC154" s="47" t="str">
        <f t="shared" si="176"/>
        <v>1,41876034020745-8,28291672311272i</v>
      </c>
      <c r="AD154" s="20">
        <f t="shared" si="177"/>
        <v>18.489251939487325</v>
      </c>
      <c r="AE154" s="43">
        <f t="shared" si="178"/>
        <v>-80.280272050293604</v>
      </c>
      <c r="AF154" t="str">
        <f t="shared" si="160"/>
        <v>171,265703090588</v>
      </c>
      <c r="AG154" t="str">
        <f t="shared" si="161"/>
        <v>1+6,36382340692996i</v>
      </c>
      <c r="AH154">
        <f t="shared" si="179"/>
        <v>6.4419134078773244</v>
      </c>
      <c r="AI154">
        <f t="shared" si="180"/>
        <v>1.4149326327834206</v>
      </c>
      <c r="AJ154" t="str">
        <f t="shared" si="162"/>
        <v>1+0,021763646316564i</v>
      </c>
      <c r="AK154">
        <f t="shared" si="181"/>
        <v>1.0002368001133493</v>
      </c>
      <c r="AL154">
        <f t="shared" si="182"/>
        <v>2.1760211130033007E-2</v>
      </c>
      <c r="AM154" t="str">
        <f t="shared" si="163"/>
        <v>1-0,00180962215700181i</v>
      </c>
      <c r="AN154">
        <f t="shared" si="183"/>
        <v>1.000001637364835</v>
      </c>
      <c r="AO154">
        <f t="shared" si="184"/>
        <v>-1.809620181662951E-3</v>
      </c>
      <c r="AP154" s="41" t="str">
        <f t="shared" si="185"/>
        <v>4,65129108786104-26,1825551202008i</v>
      </c>
      <c r="AQ154">
        <f t="shared" si="186"/>
        <v>28.495181179035136</v>
      </c>
      <c r="AR154" s="43">
        <f t="shared" si="187"/>
        <v>-79.92658349369043</v>
      </c>
      <c r="AS154" t="str">
        <f t="shared" si="164"/>
        <v>-0,0000166666666666667</v>
      </c>
      <c r="AT154" t="str">
        <f t="shared" si="165"/>
        <v>2,20659191820718E-06i</v>
      </c>
      <c r="AU154">
        <f t="shared" si="188"/>
        <v>2.2065919182071799E-6</v>
      </c>
      <c r="AV154">
        <f t="shared" si="189"/>
        <v>1.5707963267948966</v>
      </c>
      <c r="AW154" t="str">
        <f t="shared" si="166"/>
        <v>1+0,0102250535997897i</v>
      </c>
      <c r="AX154">
        <f t="shared" si="190"/>
        <v>1.0000522744942479</v>
      </c>
      <c r="AY154">
        <f t="shared" si="191"/>
        <v>1.0224697273158041E-2</v>
      </c>
      <c r="AZ154" t="str">
        <f t="shared" si="167"/>
        <v>1+0,475000217226596i</v>
      </c>
      <c r="BA154">
        <f t="shared" si="192"/>
        <v>1.1070795844767951</v>
      </c>
      <c r="BB154">
        <f t="shared" si="193"/>
        <v>0.44344851365712951</v>
      </c>
      <c r="BC154" s="41" t="str">
        <f t="shared" si="194"/>
        <v>-3,51013835581234+7,58901729748133i</v>
      </c>
      <c r="BD154">
        <f t="shared" si="195"/>
        <v>18.445657330820989</v>
      </c>
      <c r="BE154" s="43">
        <f t="shared" si="196"/>
        <v>114.82189626335212</v>
      </c>
      <c r="BF154" s="41" t="str">
        <f t="shared" si="197"/>
        <v>57,8791531974323+39,8411804506123i</v>
      </c>
      <c r="BG154" s="20">
        <f t="shared" si="198"/>
        <v>36.934909270308317</v>
      </c>
      <c r="BH154" s="43">
        <f t="shared" si="199"/>
        <v>34.54162421305854</v>
      </c>
      <c r="BI154" s="41" t="str">
        <f t="shared" si="152"/>
        <v>182,373188447913+127,203119501986i</v>
      </c>
      <c r="BJ154" s="20">
        <f t="shared" si="200"/>
        <v>46.940838509856128</v>
      </c>
      <c r="BK154" s="43">
        <f t="shared" si="153"/>
        <v>34.89531276966175</v>
      </c>
      <c r="BL154">
        <f t="shared" si="201"/>
        <v>36.934909270308317</v>
      </c>
      <c r="BM154" s="43">
        <f t="shared" si="202"/>
        <v>34.54162421305854</v>
      </c>
    </row>
    <row r="155" spans="14:65" x14ac:dyDescent="0.25">
      <c r="N155" s="9">
        <v>37</v>
      </c>
      <c r="O155" s="34">
        <f t="shared" si="154"/>
        <v>234.42288153199232</v>
      </c>
      <c r="P155" s="33" t="str">
        <f t="shared" si="155"/>
        <v>54,631621870174</v>
      </c>
      <c r="Q155" s="4" t="str">
        <f t="shared" si="156"/>
        <v>1+6,57497855584719i</v>
      </c>
      <c r="R155" s="4">
        <f t="shared" si="168"/>
        <v>6.650589673844749</v>
      </c>
      <c r="S155" s="4">
        <f t="shared" si="169"/>
        <v>1.4198612875416288</v>
      </c>
      <c r="T155" s="4" t="str">
        <f t="shared" si="157"/>
        <v>1+0,0222705867622167i</v>
      </c>
      <c r="U155" s="4">
        <f t="shared" si="170"/>
        <v>1.0002479587755895</v>
      </c>
      <c r="V155" s="4">
        <f t="shared" si="171"/>
        <v>2.2266905942811759E-2</v>
      </c>
      <c r="W155" t="str">
        <f t="shared" si="158"/>
        <v>1-0,00586125733854088i</v>
      </c>
      <c r="X155" s="4">
        <f t="shared" si="172"/>
        <v>1.0000171770212694</v>
      </c>
      <c r="Y155" s="4">
        <f t="shared" si="173"/>
        <v>-5.8611902200532608E-3</v>
      </c>
      <c r="Z155" t="str">
        <f t="shared" si="159"/>
        <v>0,99999978018365+0,000805289352216335i</v>
      </c>
      <c r="AA155" s="4">
        <f t="shared" si="174"/>
        <v>1.0000001044291391</v>
      </c>
      <c r="AB155" s="4">
        <f t="shared" si="175"/>
        <v>8.0528935515780979E-4</v>
      </c>
      <c r="AC155" s="47" t="str">
        <f t="shared" si="176"/>
        <v>1,36206065077632-8,10305167162127i</v>
      </c>
      <c r="AD155" s="20">
        <f t="shared" si="177"/>
        <v>18.293980566740512</v>
      </c>
      <c r="AE155" s="43">
        <f t="shared" si="178"/>
        <v>-80.458220680678224</v>
      </c>
      <c r="AF155" t="str">
        <f t="shared" si="160"/>
        <v>171,265703090588</v>
      </c>
      <c r="AG155" t="str">
        <f t="shared" si="161"/>
        <v>1+6,51205589642363i</v>
      </c>
      <c r="AH155">
        <f t="shared" si="179"/>
        <v>6.5883891808351578</v>
      </c>
      <c r="AI155">
        <f t="shared" si="180"/>
        <v>1.4184252432994351</v>
      </c>
      <c r="AJ155" t="str">
        <f t="shared" si="162"/>
        <v>1+0,0222705867622167i</v>
      </c>
      <c r="AK155">
        <f t="shared" si="181"/>
        <v>1.0002479587755895</v>
      </c>
      <c r="AL155">
        <f t="shared" si="182"/>
        <v>2.2266905942811759E-2</v>
      </c>
      <c r="AM155" t="str">
        <f t="shared" si="163"/>
        <v>1-0,00185177367193592i</v>
      </c>
      <c r="AN155">
        <f t="shared" si="183"/>
        <v>1.0000017145313962</v>
      </c>
      <c r="AO155">
        <f t="shared" si="184"/>
        <v>-1.8517715553223941E-3</v>
      </c>
      <c r="AP155" s="41" t="str">
        <f t="shared" si="185"/>
        <v>4,4703912680727-25,6143954363913i</v>
      </c>
      <c r="AQ155">
        <f t="shared" si="186"/>
        <v>28.299991496762459</v>
      </c>
      <c r="AR155" s="43">
        <f t="shared" si="187"/>
        <v>-80.100078957279038</v>
      </c>
      <c r="AS155" t="str">
        <f t="shared" si="164"/>
        <v>-0,0000166666666666667</v>
      </c>
      <c r="AT155" t="str">
        <f t="shared" si="165"/>
        <v>2,25799004672475E-06i</v>
      </c>
      <c r="AU155">
        <f t="shared" si="188"/>
        <v>2.2579900467247501E-6</v>
      </c>
      <c r="AV155">
        <f t="shared" si="189"/>
        <v>1.5707963267948966</v>
      </c>
      <c r="AW155" t="str">
        <f t="shared" si="166"/>
        <v>1+0,0104632256943599i</v>
      </c>
      <c r="AX155">
        <f t="shared" si="190"/>
        <v>1.0000547380478386</v>
      </c>
      <c r="AY155">
        <f t="shared" si="191"/>
        <v>1.0462843884623801E-2</v>
      </c>
      <c r="AZ155" t="str">
        <f t="shared" si="167"/>
        <v>1+0,486064393619808i</v>
      </c>
      <c r="BA155">
        <f t="shared" si="192"/>
        <v>1.1118716628932459</v>
      </c>
      <c r="BB155">
        <f t="shared" si="193"/>
        <v>0.45243710083939659</v>
      </c>
      <c r="BC155" s="41" t="str">
        <f t="shared" si="194"/>
        <v>-3,51012106195234+7,4179229965652i</v>
      </c>
      <c r="BD155">
        <f t="shared" si="195"/>
        <v>18.28315233172351</v>
      </c>
      <c r="BE155" s="43">
        <f t="shared" si="196"/>
        <v>115.32325957693902</v>
      </c>
      <c r="BF155" s="41" t="str">
        <f t="shared" si="197"/>
        <v>55,326815559329+38,5463533627562i</v>
      </c>
      <c r="BG155" s="20">
        <f t="shared" si="198"/>
        <v>36.577132898464029</v>
      </c>
      <c r="BH155" s="43">
        <f t="shared" si="199"/>
        <v>34.865038896260849</v>
      </c>
      <c r="BI155" s="41" t="str">
        <f t="shared" si="152"/>
        <v>174,313998405492+123,070647101534i</v>
      </c>
      <c r="BJ155" s="20">
        <f t="shared" si="200"/>
        <v>46.58314382848598</v>
      </c>
      <c r="BK155" s="43">
        <f t="shared" si="153"/>
        <v>35.22318061966002</v>
      </c>
      <c r="BL155">
        <f t="shared" si="201"/>
        <v>36.577132898464029</v>
      </c>
      <c r="BM155" s="43">
        <f t="shared" si="202"/>
        <v>34.865038896260849</v>
      </c>
    </row>
    <row r="156" spans="14:65" x14ac:dyDescent="0.25">
      <c r="N156" s="9">
        <v>38</v>
      </c>
      <c r="O156" s="34">
        <f t="shared" si="154"/>
        <v>239.88329190194912</v>
      </c>
      <c r="P156" s="33" t="str">
        <f t="shared" si="155"/>
        <v>54,631621870174</v>
      </c>
      <c r="Q156" s="4" t="str">
        <f t="shared" si="156"/>
        <v>1+6,72812948059469i</v>
      </c>
      <c r="R156" s="4">
        <f t="shared" si="168"/>
        <v>6.802038393573457</v>
      </c>
      <c r="S156" s="4">
        <f t="shared" si="169"/>
        <v>1.4232467750871951</v>
      </c>
      <c r="T156" s="4" t="str">
        <f t="shared" si="157"/>
        <v>1+0,022789335367757i</v>
      </c>
      <c r="U156" s="4">
        <f t="shared" si="170"/>
        <v>1.0002596431959574</v>
      </c>
      <c r="V156" s="4">
        <f t="shared" si="171"/>
        <v>2.2785391353996893E-2</v>
      </c>
      <c r="W156" t="str">
        <f t="shared" si="158"/>
        <v>1-0,00599778356048305i</v>
      </c>
      <c r="X156" s="4">
        <f t="shared" si="172"/>
        <v>1.0000179865420613</v>
      </c>
      <c r="Y156" s="4">
        <f t="shared" si="173"/>
        <v>-5.9977116417976907E-3</v>
      </c>
      <c r="Z156" t="str">
        <f t="shared" si="159"/>
        <v>0,999999769824025+0,000824046950881287i</v>
      </c>
      <c r="AA156" s="4">
        <f t="shared" si="174"/>
        <v>1.0000001093507342</v>
      </c>
      <c r="AB156" s="4">
        <f t="shared" si="175"/>
        <v>8.2404695403313314E-4</v>
      </c>
      <c r="AC156" s="47" t="str">
        <f t="shared" si="176"/>
        <v>1,30779995414914-7,92672329408458i</v>
      </c>
      <c r="AD156" s="20">
        <f t="shared" si="177"/>
        <v>18.098510513925408</v>
      </c>
      <c r="AE156" s="43">
        <f t="shared" si="178"/>
        <v>-80.631384635361741</v>
      </c>
      <c r="AF156" t="str">
        <f t="shared" si="160"/>
        <v>171,265703090588</v>
      </c>
      <c r="AG156" t="str">
        <f t="shared" si="161"/>
        <v>1+6,66374116415089i</v>
      </c>
      <c r="AH156">
        <f t="shared" si="179"/>
        <v>6.7383563502384654</v>
      </c>
      <c r="AI156">
        <f t="shared" si="180"/>
        <v>1.4218419761847294</v>
      </c>
      <c r="AJ156" t="str">
        <f t="shared" si="162"/>
        <v>1+0,022789335367757i</v>
      </c>
      <c r="AK156">
        <f t="shared" si="181"/>
        <v>1.0002596431959574</v>
      </c>
      <c r="AL156">
        <f t="shared" si="182"/>
        <v>2.2785391353996893E-2</v>
      </c>
      <c r="AM156" t="str">
        <f t="shared" si="163"/>
        <v>1-0,00189490702178204i</v>
      </c>
      <c r="AN156">
        <f t="shared" si="183"/>
        <v>1.0000017953346989</v>
      </c>
      <c r="AO156">
        <f t="shared" si="184"/>
        <v>-1.8949047537900052E-3</v>
      </c>
      <c r="AP156" s="41" t="str">
        <f t="shared" si="185"/>
        <v>4,297266202514-25,0573707256576i</v>
      </c>
      <c r="AQ156">
        <f t="shared" si="186"/>
        <v>28.104599080883446</v>
      </c>
      <c r="AR156" s="43">
        <f t="shared" si="187"/>
        <v>-80.268607655759055</v>
      </c>
      <c r="AS156" t="str">
        <f t="shared" si="164"/>
        <v>-0,0000166666666666667</v>
      </c>
      <c r="AT156" t="str">
        <f t="shared" si="165"/>
        <v>2,31058539145313E-06i</v>
      </c>
      <c r="AU156">
        <f t="shared" si="188"/>
        <v>2.31058539145313E-6</v>
      </c>
      <c r="AV156">
        <f t="shared" si="189"/>
        <v>1.5707963267948966</v>
      </c>
      <c r="AW156" t="str">
        <f t="shared" si="166"/>
        <v>1+0,0107069455296904i</v>
      </c>
      <c r="AX156">
        <f t="shared" si="190"/>
        <v>1.0000573176986285</v>
      </c>
      <c r="AY156">
        <f t="shared" si="191"/>
        <v>1.0706536414453646E-2</v>
      </c>
      <c r="AZ156" t="str">
        <f t="shared" si="167"/>
        <v>1+0,497386287788346i</v>
      </c>
      <c r="BA156">
        <f t="shared" si="192"/>
        <v>1.116867547778102</v>
      </c>
      <c r="BB156">
        <f t="shared" si="193"/>
        <v>0.4615544539232096</v>
      </c>
      <c r="BC156" s="41" t="str">
        <f t="shared" si="194"/>
        <v>-3,51010295324052+7,25076175955131i</v>
      </c>
      <c r="BD156">
        <f t="shared" si="195"/>
        <v>18.122070128326673</v>
      </c>
      <c r="BE156" s="43">
        <f t="shared" si="196"/>
        <v>115.83168287551396</v>
      </c>
      <c r="BF156" s="41" t="str">
        <f t="shared" si="197"/>
        <v>52,8842696579864+37,3061607407742i</v>
      </c>
      <c r="BG156" s="20">
        <f t="shared" si="198"/>
        <v>36.220580642252081</v>
      </c>
      <c r="BH156" s="43">
        <f t="shared" si="199"/>
        <v>35.200298240152179</v>
      </c>
      <c r="BI156" s="41" t="str">
        <f t="shared" si="152"/>
        <v>166,601178664193+119,112404436374i</v>
      </c>
      <c r="BJ156" s="20">
        <f t="shared" si="200"/>
        <v>46.226669209210101</v>
      </c>
      <c r="BK156" s="43">
        <f t="shared" si="153"/>
        <v>35.563075219755</v>
      </c>
      <c r="BL156">
        <f t="shared" si="201"/>
        <v>36.220580642252081</v>
      </c>
      <c r="BM156" s="43">
        <f t="shared" si="202"/>
        <v>35.200298240152179</v>
      </c>
    </row>
    <row r="157" spans="14:65" x14ac:dyDescent="0.25">
      <c r="N157" s="9">
        <v>39</v>
      </c>
      <c r="O157" s="34">
        <f t="shared" si="154"/>
        <v>245.4708915685033</v>
      </c>
      <c r="P157" s="33" t="str">
        <f t="shared" si="155"/>
        <v>54,631621870174</v>
      </c>
      <c r="Q157" s="4" t="str">
        <f t="shared" si="156"/>
        <v>1+6,88484774865008i</v>
      </c>
      <c r="R157" s="4">
        <f t="shared" si="168"/>
        <v>6.957091958720401</v>
      </c>
      <c r="S157" s="4">
        <f t="shared" si="169"/>
        <v>1.426558494962564</v>
      </c>
      <c r="T157" s="4" t="str">
        <f t="shared" si="157"/>
        <v>1+0,0233201671805616i</v>
      </c>
      <c r="U157" s="4">
        <f t="shared" si="170"/>
        <v>1.0002718781398032</v>
      </c>
      <c r="V157" s="4">
        <f t="shared" si="171"/>
        <v>2.3315941155713355E-2</v>
      </c>
      <c r="W157" t="str">
        <f t="shared" si="158"/>
        <v>1-0,006137489886659i</v>
      </c>
      <c r="X157" s="4">
        <f t="shared" si="172"/>
        <v>1.0000188342136906</v>
      </c>
      <c r="Y157" s="4">
        <f t="shared" si="173"/>
        <v>-6.1374128244776173E-3</v>
      </c>
      <c r="Z157" t="str">
        <f t="shared" si="159"/>
        <v>0,999999758976166+0,000843241470147141i</v>
      </c>
      <c r="AA157" s="4">
        <f t="shared" si="174"/>
        <v>1.0000001145042769</v>
      </c>
      <c r="AB157" s="4">
        <f t="shared" si="175"/>
        <v>8.4324147352440426E-4</v>
      </c>
      <c r="AC157" s="47" t="str">
        <f t="shared" si="176"/>
        <v>1,25587809701641-7,75388663354094i</v>
      </c>
      <c r="AD157" s="20">
        <f t="shared" si="177"/>
        <v>17.902850775992725</v>
      </c>
      <c r="AE157" s="43">
        <f t="shared" si="178"/>
        <v>-80.799837995807238</v>
      </c>
      <c r="AF157" t="str">
        <f t="shared" si="160"/>
        <v>171,265703090588</v>
      </c>
      <c r="AG157" t="str">
        <f t="shared" si="161"/>
        <v>1+6,81895963564838i</v>
      </c>
      <c r="AH157">
        <f t="shared" si="179"/>
        <v>6.8918945517616477</v>
      </c>
      <c r="AI157">
        <f t="shared" si="180"/>
        <v>1.4251843237743667</v>
      </c>
      <c r="AJ157" t="str">
        <f t="shared" si="162"/>
        <v>1+0,0233201671805616i</v>
      </c>
      <c r="AK157">
        <f t="shared" si="181"/>
        <v>1.0002718781398032</v>
      </c>
      <c r="AL157">
        <f t="shared" si="182"/>
        <v>2.3315941155713355E-2</v>
      </c>
      <c r="AM157" t="str">
        <f t="shared" si="163"/>
        <v>1-0,00193904507641315i</v>
      </c>
      <c r="AN157">
        <f t="shared" si="183"/>
        <v>1.000001879946137</v>
      </c>
      <c r="AO157">
        <f t="shared" si="184"/>
        <v>-1.9390426462161474E-3</v>
      </c>
      <c r="AP157" s="41" t="str">
        <f t="shared" si="185"/>
        <v>4,13159722433694-24,5113417934778i</v>
      </c>
      <c r="AQ157">
        <f t="shared" si="186"/>
        <v>27.909013067705857</v>
      </c>
      <c r="AR157" s="43">
        <f t="shared" si="187"/>
        <v>-80.432240716803761</v>
      </c>
      <c r="AS157" t="str">
        <f t="shared" si="164"/>
        <v>-0,0000166666666666667</v>
      </c>
      <c r="AT157" t="str">
        <f t="shared" si="165"/>
        <v>2,36440583914028E-06i</v>
      </c>
      <c r="AU157">
        <f t="shared" si="188"/>
        <v>2.36440583914028E-6</v>
      </c>
      <c r="AV157">
        <f t="shared" si="189"/>
        <v>1.5707963267948966</v>
      </c>
      <c r="AW157" t="str">
        <f t="shared" si="166"/>
        <v>1+0,0109563423292639i</v>
      </c>
      <c r="AX157">
        <f t="shared" si="190"/>
        <v>1.0000600189174829</v>
      </c>
      <c r="AY157">
        <f t="shared" si="191"/>
        <v>1.0955903955810569E-2</v>
      </c>
      <c r="AZ157" t="str">
        <f t="shared" si="167"/>
        <v>1+0,508971902750352i</v>
      </c>
      <c r="BA157">
        <f t="shared" si="192"/>
        <v>1.122075041068695</v>
      </c>
      <c r="BB157">
        <f t="shared" si="193"/>
        <v>0.4707993429657279</v>
      </c>
      <c r="BC157" s="41" t="str">
        <f t="shared" si="194"/>
        <v>-3,51008399129164+7,08744495411943i</v>
      </c>
      <c r="BD157">
        <f t="shared" si="195"/>
        <v>17.962451270531567</v>
      </c>
      <c r="BE157" s="43">
        <f t="shared" si="196"/>
        <v>116.34708829204975</v>
      </c>
      <c r="BF157" s="41" t="str">
        <f t="shared" si="197"/>
        <v>50,5470070923527+36,1177602243704i</v>
      </c>
      <c r="BG157" s="20">
        <f t="shared" si="198"/>
        <v>35.865302046524292</v>
      </c>
      <c r="BH157" s="43">
        <f t="shared" si="199"/>
        <v>35.547250296242552</v>
      </c>
      <c r="BI157" s="41" t="str">
        <f t="shared" si="152"/>
        <v>159,220532437271+115,319336334445i</v>
      </c>
      <c r="BJ157" s="20">
        <f t="shared" si="200"/>
        <v>45.871464338237438</v>
      </c>
      <c r="BK157" s="43">
        <f t="shared" si="153"/>
        <v>35.914847575246007</v>
      </c>
      <c r="BL157">
        <f t="shared" si="201"/>
        <v>35.865302046524292</v>
      </c>
      <c r="BM157" s="43">
        <f t="shared" si="202"/>
        <v>35.547250296242552</v>
      </c>
    </row>
    <row r="158" spans="14:65" x14ac:dyDescent="0.25">
      <c r="N158" s="9">
        <v>40</v>
      </c>
      <c r="O158" s="34">
        <f t="shared" si="154"/>
        <v>251.18864315095806</v>
      </c>
      <c r="P158" s="33" t="str">
        <f t="shared" si="155"/>
        <v>54,631621870174</v>
      </c>
      <c r="Q158" s="4" t="str">
        <f t="shared" si="156"/>
        <v>1+7,04521645411359i</v>
      </c>
      <c r="R158" s="4">
        <f t="shared" si="168"/>
        <v>7.1158326909303371</v>
      </c>
      <c r="S158" s="4">
        <f t="shared" si="169"/>
        <v>1.4297979123644677</v>
      </c>
      <c r="T158" s="4" t="str">
        <f t="shared" si="157"/>
        <v>1+0,0238633636546844i</v>
      </c>
      <c r="U158" s="4">
        <f t="shared" si="170"/>
        <v>1.0002846895383912</v>
      </c>
      <c r="V158" s="4">
        <f t="shared" si="171"/>
        <v>2.3858835457077954E-2</v>
      </c>
      <c r="W158" t="str">
        <f t="shared" si="158"/>
        <v>1-0,00628045039121218i</v>
      </c>
      <c r="X158" s="4">
        <f t="shared" si="172"/>
        <v>1.0000197218340829</v>
      </c>
      <c r="Y158" s="4">
        <f t="shared" si="173"/>
        <v>-6.2803678176850761E-3</v>
      </c>
      <c r="Z158" t="str">
        <f t="shared" si="159"/>
        <v>0,999999747617062+0,000862883087202094i</v>
      </c>
      <c r="AA158" s="4">
        <f t="shared" si="174"/>
        <v>1.0000001199006976</v>
      </c>
      <c r="AB158" s="4">
        <f t="shared" si="175"/>
        <v>8.6288309082089675E-4</v>
      </c>
      <c r="AC158" s="47" t="str">
        <f t="shared" si="176"/>
        <v>1,20619862685399-7,58449557317385i</v>
      </c>
      <c r="AD158" s="20">
        <f t="shared" si="177"/>
        <v>17.707009997995414</v>
      </c>
      <c r="AE158" s="43">
        <f t="shared" si="178"/>
        <v>-80.963653488372699</v>
      </c>
      <c r="AF158" t="str">
        <f t="shared" si="160"/>
        <v>171,265703090588</v>
      </c>
      <c r="AG158" t="str">
        <f t="shared" si="161"/>
        <v>1+6,97779360980434i</v>
      </c>
      <c r="AH158">
        <f t="shared" si="179"/>
        <v>7.0490853066923709</v>
      </c>
      <c r="AI158">
        <f t="shared" si="180"/>
        <v>1.4284537593637689</v>
      </c>
      <c r="AJ158" t="str">
        <f t="shared" si="162"/>
        <v>1+0,0238633636546844i</v>
      </c>
      <c r="AK158">
        <f t="shared" si="181"/>
        <v>1.0002846895383912</v>
      </c>
      <c r="AL158">
        <f t="shared" si="182"/>
        <v>2.3858835457077954E-2</v>
      </c>
      <c r="AM158" t="str">
        <f t="shared" si="163"/>
        <v>1-0,00198421123841008i</v>
      </c>
      <c r="AN158">
        <f t="shared" si="183"/>
        <v>1.0000019685451818</v>
      </c>
      <c r="AO158">
        <f t="shared" si="184"/>
        <v>-1.9842086344073529E-3</v>
      </c>
      <c r="AP158" s="41" t="str">
        <f t="shared" si="185"/>
        <v>3,97307739002718-23,9761656017904i</v>
      </c>
      <c r="AQ158">
        <f t="shared" si="186"/>
        <v>27.713242237307696</v>
      </c>
      <c r="AR158" s="43">
        <f t="shared" si="187"/>
        <v>-80.591047845777368</v>
      </c>
      <c r="AS158" t="str">
        <f t="shared" si="164"/>
        <v>-0,0000166666666666667</v>
      </c>
      <c r="AT158" t="str">
        <f t="shared" si="165"/>
        <v>2,41947992609994E-06i</v>
      </c>
      <c r="AU158">
        <f t="shared" si="188"/>
        <v>2.4194799260999398E-6</v>
      </c>
      <c r="AV158">
        <f t="shared" si="189"/>
        <v>1.5707963267948966</v>
      </c>
      <c r="AW158" t="str">
        <f t="shared" si="166"/>
        <v>1+0,0112115483265648i</v>
      </c>
      <c r="AX158">
        <f t="shared" si="190"/>
        <v>1.0000628474330395</v>
      </c>
      <c r="AY158">
        <f t="shared" si="191"/>
        <v>1.1211078602540937E-2</v>
      </c>
      <c r="AZ158" t="str">
        <f t="shared" si="167"/>
        <v>1+0,520827381352238i</v>
      </c>
      <c r="BA158">
        <f t="shared" si="192"/>
        <v>1.1275021778986636</v>
      </c>
      <c r="BB158">
        <f t="shared" si="193"/>
        <v>0.48017034766502109</v>
      </c>
      <c r="BC158" s="41" t="str">
        <f t="shared" si="194"/>
        <v>-3,51006413591324+6,9278859862307i</v>
      </c>
      <c r="BD158">
        <f t="shared" si="195"/>
        <v>17.804336448162612</v>
      </c>
      <c r="BE158" s="43">
        <f t="shared" si="196"/>
        <v>116.86938688082009</v>
      </c>
      <c r="BF158" s="41" t="str">
        <f t="shared" si="197"/>
        <v>48,3106860531119+34,9784724639827i</v>
      </c>
      <c r="BG158" s="20">
        <f t="shared" si="198"/>
        <v>35.511346446158022</v>
      </c>
      <c r="BH158" s="43">
        <f t="shared" si="199"/>
        <v>35.90573339244736</v>
      </c>
      <c r="BI158" s="41" t="str">
        <f t="shared" si="152"/>
        <v>152,158385220248+111,682906168141i</v>
      </c>
      <c r="BJ158" s="20">
        <f t="shared" si="200"/>
        <v>45.517578685470326</v>
      </c>
      <c r="BK158" s="43">
        <f t="shared" si="153"/>
        <v>36.278339035042848</v>
      </c>
      <c r="BL158">
        <f t="shared" si="201"/>
        <v>35.511346446158022</v>
      </c>
      <c r="BM158" s="43">
        <f t="shared" si="202"/>
        <v>35.90573339244736</v>
      </c>
    </row>
    <row r="159" spans="14:65" x14ac:dyDescent="0.25">
      <c r="N159" s="9">
        <v>41</v>
      </c>
      <c r="O159" s="34">
        <f t="shared" si="154"/>
        <v>257.03957827688663</v>
      </c>
      <c r="P159" s="33" t="str">
        <f t="shared" si="155"/>
        <v>54,631621870174</v>
      </c>
      <c r="Q159" s="4" t="str">
        <f t="shared" si="156"/>
        <v>1+7,20932062659548i</v>
      </c>
      <c r="R159" s="4">
        <f t="shared" si="168"/>
        <v>7.278344859722921</v>
      </c>
      <c r="S159" s="4">
        <f t="shared" si="169"/>
        <v>1.4329664727818974</v>
      </c>
      <c r="T159" s="4" t="str">
        <f t="shared" si="157"/>
        <v>1+0,0244192128000857i</v>
      </c>
      <c r="U159" s="4">
        <f t="shared" si="170"/>
        <v>1.0002981045437285</v>
      </c>
      <c r="V159" s="4">
        <f t="shared" si="171"/>
        <v>2.4414360827025233E-2</v>
      </c>
      <c r="W159" t="str">
        <f t="shared" si="158"/>
        <v>1-0,00642674087369433i</v>
      </c>
      <c r="X159" s="4">
        <f t="shared" si="172"/>
        <v>1.0000206512858909</v>
      </c>
      <c r="Y159" s="4">
        <f t="shared" si="173"/>
        <v>-6.4266523946646193E-3</v>
      </c>
      <c r="Z159" t="str">
        <f t="shared" si="159"/>
        <v>0,999999735722621+0,000882982216291483i</v>
      </c>
      <c r="AA159" s="4">
        <f t="shared" si="174"/>
        <v>1.0000001255514452</v>
      </c>
      <c r="AB159" s="4">
        <f t="shared" si="175"/>
        <v>8.8298222016909903E-4</v>
      </c>
      <c r="AC159" s="47" t="str">
        <f t="shared" si="176"/>
        <v>1,15866869142725-7,41850298913954i</v>
      </c>
      <c r="AD159" s="20">
        <f t="shared" si="177"/>
        <v>17.510996488992557</v>
      </c>
      <c r="AE159" s="43">
        <f t="shared" si="178"/>
        <v>-81.122902452465468</v>
      </c>
      <c r="AF159" t="str">
        <f t="shared" si="160"/>
        <v>171,265703090588</v>
      </c>
      <c r="AG159" t="str">
        <f t="shared" si="161"/>
        <v>1+7,14032730249419i</v>
      </c>
      <c r="AH159">
        <f t="shared" si="179"/>
        <v>7.2100120656448246</v>
      </c>
      <c r="AI159">
        <f t="shared" si="180"/>
        <v>1.4316517367238515</v>
      </c>
      <c r="AJ159" t="str">
        <f t="shared" si="162"/>
        <v>1+0,0244192128000857i</v>
      </c>
      <c r="AK159">
        <f t="shared" si="181"/>
        <v>1.0002981045437285</v>
      </c>
      <c r="AL159">
        <f t="shared" si="182"/>
        <v>2.4414360827025233E-2</v>
      </c>
      <c r="AM159" t="str">
        <f t="shared" si="163"/>
        <v>1-0,00203042945546975i</v>
      </c>
      <c r="AN159">
        <f t="shared" si="183"/>
        <v>1.0000020613197624</v>
      </c>
      <c r="AO159">
        <f t="shared" si="184"/>
        <v>-2.0304266652308675E-3</v>
      </c>
      <c r="AP159" s="41" t="str">
        <f t="shared" si="185"/>
        <v>3,82141116591295-23,4516957611659i</v>
      </c>
      <c r="AQ159">
        <f t="shared" si="186"/>
        <v>27.517295027565744</v>
      </c>
      <c r="AR159" s="43">
        <f t="shared" si="187"/>
        <v>-80.745097290481652</v>
      </c>
      <c r="AS159" t="str">
        <f t="shared" si="164"/>
        <v>-0,0000166666666666667</v>
      </c>
      <c r="AT159" t="str">
        <f t="shared" si="165"/>
        <v>2,47583685334203E-06i</v>
      </c>
      <c r="AU159">
        <f t="shared" si="188"/>
        <v>2.47583685334203E-6</v>
      </c>
      <c r="AV159">
        <f t="shared" si="189"/>
        <v>1.5707963267948966</v>
      </c>
      <c r="AW159" t="str">
        <f t="shared" si="166"/>
        <v>1+0,0114726988351908i</v>
      </c>
      <c r="AX159">
        <f t="shared" si="190"/>
        <v>1.0000658092438532</v>
      </c>
      <c r="AY159">
        <f t="shared" si="191"/>
        <v>1.14721955186199E-2</v>
      </c>
      <c r="AZ159" t="str">
        <f t="shared" si="167"/>
        <v>1+0,53295900952568i</v>
      </c>
      <c r="BA159">
        <f t="shared" si="192"/>
        <v>1.1331572290880882</v>
      </c>
      <c r="BB159">
        <f t="shared" si="193"/>
        <v>0.48966585238864269</v>
      </c>
      <c r="BC159" s="41" t="str">
        <f t="shared" si="194"/>
        <v>-3,51004334502042+6,77200025420793i</v>
      </c>
      <c r="BD159">
        <f t="shared" si="195"/>
        <v>17.647766410132167</v>
      </c>
      <c r="BE159" s="43">
        <f t="shared" si="196"/>
        <v>117.39847832857934</v>
      </c>
      <c r="BF159" s="41" t="str">
        <f t="shared" si="197"/>
        <v>46,1711267988675+33,8857717199314i</v>
      </c>
      <c r="BG159" s="20">
        <f t="shared" si="198"/>
        <v>35.158762899124717</v>
      </c>
      <c r="BH159" s="43">
        <f t="shared" si="199"/>
        <v>36.275575876113855</v>
      </c>
      <c r="BI159" s="41" t="str">
        <f t="shared" si="152"/>
        <v>145,401570824723+108,195066022919i</v>
      </c>
      <c r="BJ159" s="20">
        <f t="shared" si="200"/>
        <v>45.165061437697894</v>
      </c>
      <c r="BK159" s="43">
        <f t="shared" si="153"/>
        <v>36.653381038097578</v>
      </c>
      <c r="BL159">
        <f t="shared" si="201"/>
        <v>35.158762899124717</v>
      </c>
      <c r="BM159" s="43">
        <f t="shared" si="202"/>
        <v>36.275575876113855</v>
      </c>
    </row>
    <row r="160" spans="14:65" x14ac:dyDescent="0.25">
      <c r="N160" s="9">
        <v>42</v>
      </c>
      <c r="O160" s="34">
        <f t="shared" si="154"/>
        <v>263.02679918953817</v>
      </c>
      <c r="P160" s="33" t="str">
        <f t="shared" si="155"/>
        <v>54,631621870174</v>
      </c>
      <c r="Q160" s="4" t="str">
        <f t="shared" si="156"/>
        <v>1+7,37724727630024i</v>
      </c>
      <c r="R160" s="4">
        <f t="shared" si="168"/>
        <v>7.4447147276224976</v>
      </c>
      <c r="S160" s="4">
        <f t="shared" si="169"/>
        <v>1.4360656016010356</v>
      </c>
      <c r="T160" s="4" t="str">
        <f t="shared" si="157"/>
        <v>1+0,0249880093353402i</v>
      </c>
      <c r="U160" s="4">
        <f t="shared" si="170"/>
        <v>1.0003121515859652</v>
      </c>
      <c r="V160" s="4">
        <f t="shared" si="171"/>
        <v>2.4982810440155503E-2</v>
      </c>
      <c r="W160" t="str">
        <f t="shared" si="158"/>
        <v>1-0,00657643889925569i</v>
      </c>
      <c r="X160" s="4">
        <f t="shared" si="172"/>
        <v>1.0000216245404874</v>
      </c>
      <c r="Y160" s="4">
        <f t="shared" si="173"/>
        <v>-6.5763440923779712E-3</v>
      </c>
      <c r="Z160" t="str">
        <f t="shared" si="159"/>
        <v>0,999999723267612+0,000903549514239603i</v>
      </c>
      <c r="AA160" s="4">
        <f t="shared" si="174"/>
        <v>1.0000001314685041</v>
      </c>
      <c r="AB160" s="4">
        <f t="shared" si="175"/>
        <v>9.0354951839454259E-4</v>
      </c>
      <c r="AC160" s="47" t="str">
        <f t="shared" si="176"/>
        <v>1,11319893761103-7,25586089344475i</v>
      </c>
      <c r="AD160" s="20">
        <f t="shared" si="177"/>
        <v>17.314818235605983</v>
      </c>
      <c r="AE160" s="43">
        <f t="shared" si="178"/>
        <v>-81.277654812162723</v>
      </c>
      <c r="AF160" t="str">
        <f t="shared" si="160"/>
        <v>171,265703090588</v>
      </c>
      <c r="AG160" t="str">
        <f t="shared" si="161"/>
        <v>1+7,30664689123324i</v>
      </c>
      <c r="AH160">
        <f t="shared" si="179"/>
        <v>7.3747602532671097</v>
      </c>
      <c r="AI160">
        <f t="shared" si="180"/>
        <v>1.4347796896803857</v>
      </c>
      <c r="AJ160" t="str">
        <f t="shared" si="162"/>
        <v>1+0,0249880093353402i</v>
      </c>
      <c r="AK160">
        <f t="shared" si="181"/>
        <v>1.0003121515859652</v>
      </c>
      <c r="AL160">
        <f t="shared" si="182"/>
        <v>2.4982810440155503E-2</v>
      </c>
      <c r="AM160" t="str">
        <f t="shared" si="163"/>
        <v>1-0,00207772423310262i</v>
      </c>
      <c r="AN160">
        <f t="shared" si="183"/>
        <v>1.000002158466665</v>
      </c>
      <c r="AO160">
        <f t="shared" si="184"/>
        <v>-2.0777212433081399E-3</v>
      </c>
      <c r="AP160" s="41" t="str">
        <f t="shared" si="185"/>
        <v>3,67631411194429-22,9377829911941i</v>
      </c>
      <c r="AQ160">
        <f t="shared" si="186"/>
        <v>27.321179547835591</v>
      </c>
      <c r="AR160" s="43">
        <f t="shared" si="187"/>
        <v>-80.894455809426006</v>
      </c>
      <c r="AS160" t="str">
        <f t="shared" si="164"/>
        <v>-0,0000166666666666667</v>
      </c>
      <c r="AT160" t="str">
        <f t="shared" si="165"/>
        <v>2,53350650205532E-06i</v>
      </c>
      <c r="AU160">
        <f t="shared" si="188"/>
        <v>2.5335065020553202E-6</v>
      </c>
      <c r="AV160">
        <f t="shared" si="189"/>
        <v>1.5707963267948966</v>
      </c>
      <c r="AW160" t="str">
        <f t="shared" si="166"/>
        <v>1+0,0117399323205983i</v>
      </c>
      <c r="AX160">
        <f t="shared" si="190"/>
        <v>1.0000689106311085</v>
      </c>
      <c r="AY160">
        <f t="shared" si="191"/>
        <v>1.1739393009182983E-2</v>
      </c>
      <c r="AZ160" t="str">
        <f t="shared" si="167"/>
        <v>1+0,545373219620519i</v>
      </c>
      <c r="BA160">
        <f t="shared" si="192"/>
        <v>1.1390487033833323</v>
      </c>
      <c r="BB160">
        <f t="shared" si="193"/>
        <v>0.49928404166522811</v>
      </c>
      <c r="BC160" s="41" t="str">
        <f t="shared" si="194"/>
        <v>-3,51002157454702+6,61970510387223i</v>
      </c>
      <c r="BD160">
        <f t="shared" si="195"/>
        <v>17.492781878888152</v>
      </c>
      <c r="BE160" s="43">
        <f t="shared" si="196"/>
        <v>117.93425069217992</v>
      </c>
      <c r="BF160" s="41" t="str">
        <f t="shared" si="197"/>
        <v>44,1243071015456+32,837276966832i</v>
      </c>
      <c r="BG160" s="20">
        <f t="shared" si="198"/>
        <v>34.807600114494136</v>
      </c>
      <c r="BH160" s="43">
        <f t="shared" si="199"/>
        <v>36.656595880017235</v>
      </c>
      <c r="BI160" s="41" t="str">
        <f t="shared" si="152"/>
        <v>138,937417290585+104,848228461644i</v>
      </c>
      <c r="BJ160" s="20">
        <f t="shared" si="200"/>
        <v>44.813961426723736</v>
      </c>
      <c r="BK160" s="43">
        <f t="shared" si="153"/>
        <v>37.039794882753924</v>
      </c>
      <c r="BL160">
        <f t="shared" si="201"/>
        <v>34.807600114494136</v>
      </c>
      <c r="BM160" s="43">
        <f t="shared" si="202"/>
        <v>36.656595880017235</v>
      </c>
    </row>
    <row r="161" spans="14:65" x14ac:dyDescent="0.25">
      <c r="N161" s="9">
        <v>43</v>
      </c>
      <c r="O161" s="34">
        <f t="shared" si="154"/>
        <v>269.15348039269179</v>
      </c>
      <c r="P161" s="33" t="str">
        <f t="shared" si="155"/>
        <v>54,631621870174</v>
      </c>
      <c r="Q161" s="4" t="str">
        <f t="shared" si="156"/>
        <v>1+7,54908544016033i</v>
      </c>
      <c r="R161" s="4">
        <f t="shared" si="168"/>
        <v>7.6150305963167799</v>
      </c>
      <c r="S161" s="4">
        <f t="shared" si="169"/>
        <v>1.4390967037685185</v>
      </c>
      <c r="T161" s="4" t="str">
        <f t="shared" si="157"/>
        <v>1+0,0255700548438997i</v>
      </c>
      <c r="U161" s="4">
        <f t="shared" si="170"/>
        <v>1.0003268604334885</v>
      </c>
      <c r="V161" s="4">
        <f t="shared" si="171"/>
        <v>2.5564484225648467E-2</v>
      </c>
      <c r="W161" t="str">
        <f t="shared" si="158"/>
        <v>1-0,00672962383977092i</v>
      </c>
      <c r="X161" s="4">
        <f t="shared" si="172"/>
        <v>1.0000226436621447</v>
      </c>
      <c r="Y161" s="4">
        <f t="shared" si="173"/>
        <v>-6.7295222524954082E-3</v>
      </c>
      <c r="Z161" t="str">
        <f t="shared" si="159"/>
        <v>0,999999710225616+0,000924595886100067i</v>
      </c>
      <c r="AA161" s="4">
        <f t="shared" si="174"/>
        <v>1.0000001376644247</v>
      </c>
      <c r="AB161" s="4">
        <f t="shared" si="175"/>
        <v>9.2459589055216473E-4</v>
      </c>
      <c r="AC161" s="47" t="str">
        <f t="shared" si="176"/>
        <v>1,06970340994154-7,09652056733995i</v>
      </c>
      <c r="AD161" s="20">
        <f t="shared" si="177"/>
        <v>17.118482915230263</v>
      </c>
      <c r="AE161" s="43">
        <f t="shared" si="178"/>
        <v>-81.427979051057278</v>
      </c>
      <c r="AF161" t="str">
        <f t="shared" si="160"/>
        <v>171,265703090588</v>
      </c>
      <c r="AG161" t="str">
        <f t="shared" si="161"/>
        <v>1+7,47684056086894i</v>
      </c>
      <c r="AH161">
        <f t="shared" si="179"/>
        <v>7.5434173139668586</v>
      </c>
      <c r="AI161">
        <f t="shared" si="180"/>
        <v>1.4378390317533847</v>
      </c>
      <c r="AJ161" t="str">
        <f t="shared" si="162"/>
        <v>1+0,0255700548438997i</v>
      </c>
      <c r="AK161">
        <f t="shared" si="181"/>
        <v>1.0003268604334885</v>
      </c>
      <c r="AL161">
        <f t="shared" si="182"/>
        <v>2.5564484225648467E-2</v>
      </c>
      <c r="AM161" t="str">
        <f t="shared" si="163"/>
        <v>1-0,00212612064762582i</v>
      </c>
      <c r="AN161">
        <f t="shared" si="183"/>
        <v>1.0000022601919498</v>
      </c>
      <c r="AO161">
        <f t="shared" si="184"/>
        <v>-2.1261174440037073E-3</v>
      </c>
      <c r="AP161" s="41" t="str">
        <f t="shared" si="185"/>
        <v>3,53751256410617-22,4342755505582i</v>
      </c>
      <c r="AQ161">
        <f t="shared" si="186"/>
        <v>27.124903592284987</v>
      </c>
      <c r="AR161" s="43">
        <f t="shared" si="187"/>
        <v>-81.039188643377841</v>
      </c>
      <c r="AS161" t="str">
        <f t="shared" si="164"/>
        <v>-0,0000166666666666667</v>
      </c>
      <c r="AT161" t="str">
        <f t="shared" si="165"/>
        <v>2,59251944945094E-06i</v>
      </c>
      <c r="AU161">
        <f t="shared" si="188"/>
        <v>2.5925194494509399E-6</v>
      </c>
      <c r="AV161">
        <f t="shared" si="189"/>
        <v>1.5707963267948966</v>
      </c>
      <c r="AW161" t="str">
        <f t="shared" si="166"/>
        <v>1+0,0120133904735186i</v>
      </c>
      <c r="AX161">
        <f t="shared" si="190"/>
        <v>1.0000721581719336</v>
      </c>
      <c r="AY161">
        <f t="shared" si="191"/>
        <v>1.2012812593177482E-2</v>
      </c>
      <c r="AZ161" t="str">
        <f t="shared" si="167"/>
        <v>1+0,558076593815271i</v>
      </c>
      <c r="BA161">
        <f t="shared" si="192"/>
        <v>1.1451853494366993</v>
      </c>
      <c r="BB161">
        <f t="shared" si="193"/>
        <v>0.50902289619441676</v>
      </c>
      <c r="BC161" s="41" t="str">
        <f t="shared" si="194"/>
        <v>-3,50999877835226+6,4709197847112i</v>
      </c>
      <c r="BD161">
        <f t="shared" si="195"/>
        <v>17.339423460316095</v>
      </c>
      <c r="BE161" s="43">
        <f t="shared" si="196"/>
        <v>118.47658016579527</v>
      </c>
      <c r="BF161" s="41" t="str">
        <f t="shared" si="197"/>
        <v>42,166357679716+31,8307434810787i</v>
      </c>
      <c r="BG161" s="20">
        <f t="shared" si="198"/>
        <v>34.457906375546365</v>
      </c>
      <c r="BH161" s="43">
        <f t="shared" si="199"/>
        <v>37.048601114738027</v>
      </c>
      <c r="BI161" s="41" t="str">
        <f t="shared" si="152"/>
        <v>132,753732737351+101,635239815416i</v>
      </c>
      <c r="BJ161" s="20">
        <f t="shared" si="200"/>
        <v>44.46432705260105</v>
      </c>
      <c r="BK161" s="43">
        <f t="shared" si="153"/>
        <v>37.437391522417443</v>
      </c>
      <c r="BL161">
        <f t="shared" si="201"/>
        <v>34.457906375546365</v>
      </c>
      <c r="BM161" s="43">
        <f t="shared" si="202"/>
        <v>37.048601114738027</v>
      </c>
    </row>
    <row r="162" spans="14:65" x14ac:dyDescent="0.25">
      <c r="N162" s="9">
        <v>44</v>
      </c>
      <c r="O162" s="34">
        <f t="shared" si="154"/>
        <v>275.42287033381683</v>
      </c>
      <c r="P162" s="33" t="str">
        <f t="shared" si="155"/>
        <v>54,631621870174</v>
      </c>
      <c r="Q162" s="4" t="str">
        <f t="shared" si="156"/>
        <v>1+7,72492622904475i</v>
      </c>
      <c r="R162" s="4">
        <f t="shared" si="168"/>
        <v>7.789382853871258</v>
      </c>
      <c r="S162" s="4">
        <f t="shared" si="169"/>
        <v>1.4420611635091294</v>
      </c>
      <c r="T162" s="4" t="str">
        <f t="shared" si="157"/>
        <v>1+0,0261656579339972i</v>
      </c>
      <c r="U162" s="4">
        <f t="shared" si="170"/>
        <v>1.0003422622558336</v>
      </c>
      <c r="V162" s="4">
        <f t="shared" si="171"/>
        <v>2.6159689019294264E-2</v>
      </c>
      <c r="W162" t="str">
        <f t="shared" si="158"/>
        <v>1-0,00688637691592309i</v>
      </c>
      <c r="X162" s="4">
        <f t="shared" si="172"/>
        <v>1.0000237108124128</v>
      </c>
      <c r="Y162" s="4">
        <f t="shared" si="173"/>
        <v>-6.8862680633356051E-3</v>
      </c>
      <c r="Z162" t="str">
        <f t="shared" si="159"/>
        <v>0,99999969656897+0,000946132490937814i</v>
      </c>
      <c r="AA162" s="4">
        <f t="shared" si="174"/>
        <v>1.0000001441523509</v>
      </c>
      <c r="AB162" s="4">
        <f t="shared" si="175"/>
        <v>9.4613249570832175E-4</v>
      </c>
      <c r="AC162" s="47" t="str">
        <f t="shared" si="176"/>
        <v>1,02809944927133-6,94043268568368i</v>
      </c>
      <c r="AD162" s="20">
        <f t="shared" si="177"/>
        <v>16.921997908896394</v>
      </c>
      <c r="AE162" s="43">
        <f t="shared" si="178"/>
        <v>-81.573942190106891</v>
      </c>
      <c r="AF162" t="str">
        <f t="shared" si="160"/>
        <v>171,265703090588</v>
      </c>
      <c r="AG162" t="str">
        <f t="shared" si="161"/>
        <v>1+7,65099855033771i</v>
      </c>
      <c r="AH162">
        <f t="shared" si="179"/>
        <v>7.716072758681694</v>
      </c>
      <c r="AI162">
        <f t="shared" si="180"/>
        <v>1.4408311558525311</v>
      </c>
      <c r="AJ162" t="str">
        <f t="shared" si="162"/>
        <v>1+0,0261656579339972i</v>
      </c>
      <c r="AK162">
        <f t="shared" si="181"/>
        <v>1.0003422622558336</v>
      </c>
      <c r="AL162">
        <f t="shared" si="182"/>
        <v>2.6159689019294264E-2</v>
      </c>
      <c r="AM162" t="str">
        <f t="shared" si="163"/>
        <v>1-0,00217564435945892i</v>
      </c>
      <c r="AN162">
        <f t="shared" si="183"/>
        <v>1.0000023667113886</v>
      </c>
      <c r="AO162">
        <f t="shared" si="184"/>
        <v>-2.175640926716418E-3</v>
      </c>
      <c r="AP162" s="41" t="str">
        <f t="shared" si="185"/>
        <v>3,40474331668463-21,9410196382301i</v>
      </c>
      <c r="AQ162">
        <f t="shared" si="186"/>
        <v>26.928474652878606</v>
      </c>
      <c r="AR162" s="43">
        <f t="shared" si="187"/>
        <v>-81.179359489962678</v>
      </c>
      <c r="AS162" t="str">
        <f t="shared" si="164"/>
        <v>-0,0000166666666666667</v>
      </c>
      <c r="AT162" t="str">
        <f t="shared" si="165"/>
        <v>2,65290698497471E-06i</v>
      </c>
      <c r="AU162">
        <f t="shared" si="188"/>
        <v>2.65290698497471E-6</v>
      </c>
      <c r="AV162">
        <f t="shared" si="189"/>
        <v>1.5707963267948966</v>
      </c>
      <c r="AW162" t="str">
        <f t="shared" si="166"/>
        <v>1+0,0122932182850839i</v>
      </c>
      <c r="AX162">
        <f t="shared" si="190"/>
        <v>1.0000755587533396</v>
      </c>
      <c r="AY162">
        <f t="shared" si="191"/>
        <v>1.2292599077668958E-2</v>
      </c>
      <c r="AZ162" t="str">
        <f t="shared" si="167"/>
        <v>1+0,571075867607081i</v>
      </c>
      <c r="BA162">
        <f t="shared" si="192"/>
        <v>1.1515761575176782</v>
      </c>
      <c r="BB162">
        <f t="shared" si="193"/>
        <v>0.51888018943050418</v>
      </c>
      <c r="BC162" s="41" t="str">
        <f t="shared" si="194"/>
        <v>-3,50997490812327+6,32556540705663i</v>
      </c>
      <c r="BD162">
        <f t="shared" si="195"/>
        <v>17.187731549318951</v>
      </c>
      <c r="BE162" s="43">
        <f t="shared" si="196"/>
        <v>119.02533088091958</v>
      </c>
      <c r="BF162" s="41" t="str">
        <f t="shared" si="197"/>
        <v>40,2935576365681+30,864054889593i</v>
      </c>
      <c r="BG162" s="20">
        <f t="shared" si="198"/>
        <v>34.109729458215348</v>
      </c>
      <c r="BH162" s="43">
        <f t="shared" si="199"/>
        <v>37.45138869081272</v>
      </c>
      <c r="BI162" s="41" t="str">
        <f t="shared" si="152"/>
        <v>126,838791208975+98,5493549327551i</v>
      </c>
      <c r="BJ162" s="20">
        <f t="shared" si="200"/>
        <v>44.11620620219756</v>
      </c>
      <c r="BK162" s="43">
        <f t="shared" si="153"/>
        <v>37.845971390956933</v>
      </c>
      <c r="BL162">
        <f t="shared" si="201"/>
        <v>34.109729458215348</v>
      </c>
      <c r="BM162" s="43">
        <f t="shared" si="202"/>
        <v>37.45138869081272</v>
      </c>
    </row>
    <row r="163" spans="14:65" x14ac:dyDescent="0.25">
      <c r="N163" s="9">
        <v>45</v>
      </c>
      <c r="O163" s="34">
        <f t="shared" si="154"/>
        <v>281.83829312644554</v>
      </c>
      <c r="P163" s="33" t="str">
        <f t="shared" si="155"/>
        <v>54,631621870174</v>
      </c>
      <c r="Q163" s="4" t="str">
        <f t="shared" si="156"/>
        <v>1+7,90486287606729i</v>
      </c>
      <c r="R163" s="4">
        <f t="shared" si="168"/>
        <v>7.9678640230256725</v>
      </c>
      <c r="S163" s="4">
        <f t="shared" si="169"/>
        <v>1.4449603440942049</v>
      </c>
      <c r="T163" s="4" t="str">
        <f t="shared" si="157"/>
        <v>1+0,0267751344022746i</v>
      </c>
      <c r="U163" s="4">
        <f t="shared" si="170"/>
        <v>1.0003583896895452</v>
      </c>
      <c r="V163" s="4">
        <f t="shared" si="171"/>
        <v>2.6768738718686954E-2</v>
      </c>
      <c r="W163" t="str">
        <f t="shared" si="158"/>
        <v>1-0,00704678124026805i</v>
      </c>
      <c r="X163" s="4">
        <f t="shared" si="172"/>
        <v>1.0000248282547028</v>
      </c>
      <c r="Y163" s="4">
        <f t="shared" si="173"/>
        <v>-7.0466646027755354E-3</v>
      </c>
      <c r="Z163" t="str">
        <f t="shared" si="159"/>
        <v>0,999999682268706+0,0009681707477458i</v>
      </c>
      <c r="AA163" s="4">
        <f t="shared" si="174"/>
        <v>1.0000001509460434</v>
      </c>
      <c r="AB163" s="4">
        <f t="shared" si="175"/>
        <v>9.6817075285749051E-4</v>
      </c>
      <c r="AC163" s="47" t="str">
        <f t="shared" si="176"/>
        <v>0,988307591858569-6,78754743272418i</v>
      </c>
      <c r="AD163" s="20">
        <f t="shared" si="177"/>
        <v>16.725370313791224</v>
      </c>
      <c r="AE163" s="43">
        <f t="shared" si="178"/>
        <v>-81.715609768269957</v>
      </c>
      <c r="AF163" t="str">
        <f t="shared" si="160"/>
        <v>171,265703090588</v>
      </c>
      <c r="AG163" t="str">
        <f t="shared" si="161"/>
        <v>1+7,82921320051079i</v>
      </c>
      <c r="AH163">
        <f t="shared" si="179"/>
        <v>7.8928182127205</v>
      </c>
      <c r="AI163">
        <f t="shared" si="180"/>
        <v>1.4437574340248434</v>
      </c>
      <c r="AJ163" t="str">
        <f t="shared" si="162"/>
        <v>1+0,0267751344022746i</v>
      </c>
      <c r="AK163">
        <f t="shared" si="181"/>
        <v>1.0003583896895452</v>
      </c>
      <c r="AL163">
        <f t="shared" si="182"/>
        <v>2.6768738718686954E-2</v>
      </c>
      <c r="AM163" t="str">
        <f t="shared" si="163"/>
        <v>1-0,00222632162672947i</v>
      </c>
      <c r="AN163">
        <f t="shared" si="183"/>
        <v>1.000002478250922</v>
      </c>
      <c r="AO163">
        <f t="shared" si="184"/>
        <v>-2.2263179484801015E-3</v>
      </c>
      <c r="AP163" s="41" t="str">
        <f t="shared" si="185"/>
        <v>3,27775330547521-21,4578597672014i</v>
      </c>
      <c r="AQ163">
        <f t="shared" si="186"/>
        <v>26.731899932017015</v>
      </c>
      <c r="AR163" s="43">
        <f t="shared" si="187"/>
        <v>-81.315030481093842</v>
      </c>
      <c r="AS163" t="str">
        <f t="shared" si="164"/>
        <v>-0,0000166666666666667</v>
      </c>
      <c r="AT163" t="str">
        <f t="shared" si="165"/>
        <v>2,71470112689728E-06i</v>
      </c>
      <c r="AU163">
        <f t="shared" si="188"/>
        <v>2.7147011268972799E-6</v>
      </c>
      <c r="AV163">
        <f t="shared" si="189"/>
        <v>1.5707963267948966</v>
      </c>
      <c r="AW163" t="str">
        <f t="shared" si="166"/>
        <v>1+0,012579564123704i</v>
      </c>
      <c r="AX163">
        <f t="shared" si="190"/>
        <v>1.0000791195868168</v>
      </c>
      <c r="AY163">
        <f t="shared" si="191"/>
        <v>1.2578900633839896E-2</v>
      </c>
      <c r="AZ163" t="str">
        <f t="shared" si="167"/>
        <v>1+0,584377933382978i</v>
      </c>
      <c r="BA163">
        <f t="shared" si="192"/>
        <v>1.1582303609493927</v>
      </c>
      <c r="BB163">
        <f t="shared" si="193"/>
        <v>0.52885348479464189</v>
      </c>
      <c r="BC163" s="41" t="str">
        <f t="shared" si="194"/>
        <v>-3,50994991327306+6,18356490024771i</v>
      </c>
      <c r="BD163">
        <f t="shared" si="195"/>
        <v>17.037746231346343</v>
      </c>
      <c r="BE163" s="43">
        <f t="shared" si="196"/>
        <v>119.58035474228555</v>
      </c>
      <c r="BF163" s="41" t="str">
        <f t="shared" si="197"/>
        <v>38,5023299174286+29,935215658492i</v>
      </c>
      <c r="BG163" s="20">
        <f t="shared" si="198"/>
        <v>33.763116545137571</v>
      </c>
      <c r="BH163" s="43">
        <f t="shared" si="199"/>
        <v>37.864744974015608</v>
      </c>
      <c r="BI163" s="41" t="str">
        <f t="shared" si="152"/>
        <v>121,181318560621+95,5842133203215i</v>
      </c>
      <c r="BJ163" s="20">
        <f t="shared" si="200"/>
        <v>43.769646163363369</v>
      </c>
      <c r="BK163" s="43">
        <f t="shared" si="153"/>
        <v>38.265324261191694</v>
      </c>
      <c r="BL163">
        <f t="shared" si="201"/>
        <v>33.763116545137571</v>
      </c>
      <c r="BM163" s="43">
        <f t="shared" si="202"/>
        <v>37.864744974015608</v>
      </c>
    </row>
    <row r="164" spans="14:65" x14ac:dyDescent="0.25">
      <c r="N164" s="9">
        <v>46</v>
      </c>
      <c r="O164" s="34">
        <f t="shared" si="154"/>
        <v>288.40315031266073</v>
      </c>
      <c r="P164" s="33" t="str">
        <f t="shared" si="155"/>
        <v>54,631621870174</v>
      </c>
      <c r="Q164" s="4" t="str">
        <f t="shared" si="156"/>
        <v>1+8,08899078601994i</v>
      </c>
      <c r="R164" s="4">
        <f t="shared" si="168"/>
        <v>8.1505688105993848</v>
      </c>
      <c r="S164" s="4">
        <f t="shared" si="169"/>
        <v>1.4477955876572131</v>
      </c>
      <c r="T164" s="4" t="str">
        <f t="shared" si="157"/>
        <v>1+0,027398807401223i</v>
      </c>
      <c r="U164" s="4">
        <f t="shared" si="170"/>
        <v>1.0003752769071261</v>
      </c>
      <c r="V164" s="4">
        <f t="shared" si="171"/>
        <v>2.7391954441629486E-2</v>
      </c>
      <c r="W164" t="str">
        <f t="shared" si="158"/>
        <v>1-0,00721092186130178i</v>
      </c>
      <c r="X164" s="4">
        <f t="shared" si="172"/>
        <v>1.0000259983590876</v>
      </c>
      <c r="Y164" s="4">
        <f t="shared" si="173"/>
        <v>-7.2107968821523202E-3</v>
      </c>
      <c r="Z164" t="str">
        <f t="shared" si="159"/>
        <v>0,999999667294492+0,000990722341499495i</v>
      </c>
      <c r="AA164" s="4">
        <f t="shared" si="174"/>
        <v>1.0000001580599138</v>
      </c>
      <c r="AB164" s="4">
        <f t="shared" si="175"/>
        <v>9.9072234697676837E-4</v>
      </c>
      <c r="AC164" s="47" t="str">
        <f t="shared" si="176"/>
        <v>0,950251469183873-6,63781460973422i</v>
      </c>
      <c r="AD164" s="20">
        <f t="shared" si="177"/>
        <v>16.528606955436459</v>
      </c>
      <c r="AE164" s="43">
        <f t="shared" si="178"/>
        <v>-81.85304582572563</v>
      </c>
      <c r="AF164" t="str">
        <f t="shared" si="160"/>
        <v>171,265703090588</v>
      </c>
      <c r="AG164" t="str">
        <f t="shared" si="161"/>
        <v>1+8,01157900315466i</v>
      </c>
      <c r="AH164">
        <f t="shared" si="179"/>
        <v>8.0737474647024126</v>
      </c>
      <c r="AI164">
        <f t="shared" si="180"/>
        <v>1.4466192172509729</v>
      </c>
      <c r="AJ164" t="str">
        <f t="shared" si="162"/>
        <v>1+0,027398807401223i</v>
      </c>
      <c r="AK164">
        <f t="shared" si="181"/>
        <v>1.0003752769071261</v>
      </c>
      <c r="AL164">
        <f t="shared" si="182"/>
        <v>2.7391954441629486E-2</v>
      </c>
      <c r="AM164" t="str">
        <f t="shared" si="163"/>
        <v>1-0,00227817931919535i</v>
      </c>
      <c r="AN164">
        <f t="shared" si="183"/>
        <v>1.0000025950471381</v>
      </c>
      <c r="AO164">
        <f t="shared" si="184"/>
        <v>-2.2781753778806945E-3</v>
      </c>
      <c r="AP164" s="41" t="str">
        <f t="shared" si="185"/>
        <v>3,15629929290043-20,9846391121274i</v>
      </c>
      <c r="AQ164">
        <f t="shared" si="186"/>
        <v>26.535186354832089</v>
      </c>
      <c r="AR164" s="43">
        <f t="shared" si="187"/>
        <v>-81.446262163022695</v>
      </c>
      <c r="AS164" t="str">
        <f t="shared" si="164"/>
        <v>-0,0000166666666666667</v>
      </c>
      <c r="AT164" t="str">
        <f t="shared" si="165"/>
        <v>2,77793463929065E-06i</v>
      </c>
      <c r="AU164">
        <f t="shared" si="188"/>
        <v>2.7779346392906501E-6</v>
      </c>
      <c r="AV164">
        <f t="shared" si="189"/>
        <v>1.5707963267948966</v>
      </c>
      <c r="AW164" t="str">
        <f t="shared" si="166"/>
        <v>1+0,0128725798137327i</v>
      </c>
      <c r="AX164">
        <f t="shared" si="190"/>
        <v>1.0000828482236164</v>
      </c>
      <c r="AY164">
        <f t="shared" si="191"/>
        <v>1.2871868874715321E-2</v>
      </c>
      <c r="AZ164" t="str">
        <f t="shared" si="167"/>
        <v>1+0,597989844074311i</v>
      </c>
      <c r="BA164">
        <f t="shared" si="192"/>
        <v>1.165157437265891</v>
      </c>
      <c r="BB164">
        <f t="shared" si="193"/>
        <v>0.53894013356918169</v>
      </c>
      <c r="BC164" s="41" t="str">
        <f t="shared" si="194"/>
        <v>-3,50992374083337+6,04484297175838i</v>
      </c>
      <c r="BD164">
        <f t="shared" si="195"/>
        <v>16.889507180199026</v>
      </c>
      <c r="BE164" s="43">
        <f t="shared" si="196"/>
        <v>120.14149130276395</v>
      </c>
      <c r="BF164" s="41" t="str">
        <f t="shared" si="197"/>
        <v>36,7892368000367+29,0423440008559i</v>
      </c>
      <c r="BG164" s="20">
        <f t="shared" si="198"/>
        <v>33.418114135635477</v>
      </c>
      <c r="BH164" s="43">
        <f t="shared" si="199"/>
        <v>38.288445477038309</v>
      </c>
      <c r="BI164" s="41" t="str">
        <f t="shared" si="152"/>
        <v>115,770478430503+92,7338166099316i</v>
      </c>
      <c r="BJ164" s="20">
        <f t="shared" si="200"/>
        <v>43.424693535031139</v>
      </c>
      <c r="BK164" s="43">
        <f t="shared" si="153"/>
        <v>38.695229139741159</v>
      </c>
      <c r="BL164">
        <f t="shared" si="201"/>
        <v>33.418114135635477</v>
      </c>
      <c r="BM164" s="43">
        <f t="shared" si="202"/>
        <v>38.288445477038309</v>
      </c>
    </row>
    <row r="165" spans="14:65" x14ac:dyDescent="0.25">
      <c r="N165" s="9">
        <v>47</v>
      </c>
      <c r="O165" s="34">
        <f t="shared" si="154"/>
        <v>295.12092266663871</v>
      </c>
      <c r="P165" s="33" t="str">
        <f t="shared" si="155"/>
        <v>54,631621870174</v>
      </c>
      <c r="Q165" s="4" t="str">
        <f t="shared" si="156"/>
        <v>1+8,27740758595779i</v>
      </c>
      <c r="R165" s="4">
        <f t="shared" si="168"/>
        <v>8.3375941580333315</v>
      </c>
      <c r="S165" s="4">
        <f t="shared" si="169"/>
        <v>1.4505682150531569</v>
      </c>
      <c r="T165" s="4" t="str">
        <f t="shared" si="157"/>
        <v>1+0,0280370076105215i</v>
      </c>
      <c r="U165" s="4">
        <f t="shared" si="170"/>
        <v>1.0003929596892176</v>
      </c>
      <c r="V165" s="4">
        <f t="shared" si="171"/>
        <v>2.8029664687793335E-2</v>
      </c>
      <c r="W165" t="str">
        <f t="shared" si="158"/>
        <v>1-0,0073788858085542i</v>
      </c>
      <c r="X165" s="4">
        <f t="shared" si="172"/>
        <v>1.0000272236073253</v>
      </c>
      <c r="Y165" s="4">
        <f t="shared" si="173"/>
        <v>-7.3787518911796962E-3</v>
      </c>
      <c r="Z165" t="str">
        <f t="shared" si="159"/>
        <v>0,999999651614564+0,00101379922935241i</v>
      </c>
      <c r="AA165" s="4">
        <f t="shared" si="174"/>
        <v>1.0000001655090498</v>
      </c>
      <c r="AB165" s="4">
        <f t="shared" si="175"/>
        <v>1.0137992352214134E-3</v>
      </c>
      <c r="AC165" s="47" t="str">
        <f t="shared" si="176"/>
        <v>0,913857708753384-6,49118373492206i</v>
      </c>
      <c r="AD165" s="20">
        <f t="shared" si="177"/>
        <v>16.331714399531254</v>
      </c>
      <c r="AE165" s="43">
        <f t="shared" si="178"/>
        <v>-81.986312889484182</v>
      </c>
      <c r="AF165" t="str">
        <f t="shared" si="160"/>
        <v>171,265703090588</v>
      </c>
      <c r="AG165" t="str">
        <f t="shared" si="161"/>
        <v>1+8,19819265103179i</v>
      </c>
      <c r="AH165">
        <f t="shared" si="179"/>
        <v>8.2589565166207084</v>
      </c>
      <c r="AI165">
        <f t="shared" si="180"/>
        <v>1.4494178352867002</v>
      </c>
      <c r="AJ165" t="str">
        <f t="shared" si="162"/>
        <v>1+0,0280370076105215i</v>
      </c>
      <c r="AK165">
        <f t="shared" si="181"/>
        <v>1.0003929596892176</v>
      </c>
      <c r="AL165">
        <f t="shared" si="182"/>
        <v>2.8029664687793335E-2</v>
      </c>
      <c r="AM165" t="str">
        <f t="shared" si="163"/>
        <v>1-0,00233124493249154i</v>
      </c>
      <c r="AN165">
        <f t="shared" si="183"/>
        <v>1.0000027173477757</v>
      </c>
      <c r="AO165">
        <f t="shared" si="184"/>
        <v>-2.3312407092974186E-3</v>
      </c>
      <c r="AP165" s="41" t="str">
        <f t="shared" si="185"/>
        <v>3,04014755589107-20,5211998322259i</v>
      </c>
      <c r="AQ165">
        <f t="shared" si="186"/>
        <v>26.338340581142671</v>
      </c>
      <c r="AR165" s="43">
        <f t="shared" si="187"/>
        <v>-81.573113478810271</v>
      </c>
      <c r="AS165" t="str">
        <f t="shared" si="164"/>
        <v>-0,0000166666666666667</v>
      </c>
      <c r="AT165" t="str">
        <f t="shared" si="165"/>
        <v>2,84264104940009E-06i</v>
      </c>
      <c r="AU165">
        <f t="shared" si="188"/>
        <v>2.8426410494000899E-6</v>
      </c>
      <c r="AV165">
        <f t="shared" si="189"/>
        <v>1.5707963267948966</v>
      </c>
      <c r="AW165" t="str">
        <f t="shared" si="166"/>
        <v>1+0,0131724207159674i</v>
      </c>
      <c r="AX165">
        <f t="shared" si="190"/>
        <v>1.0000867525707549</v>
      </c>
      <c r="AY165">
        <f t="shared" si="191"/>
        <v>1.3171658934654351E-2</v>
      </c>
      <c r="AZ165" t="str">
        <f t="shared" si="167"/>
        <v>1+0,611918816896302i</v>
      </c>
      <c r="BA165">
        <f t="shared" si="192"/>
        <v>1.1723671090881773</v>
      </c>
      <c r="BB165">
        <f t="shared" si="193"/>
        <v>0.54913727352588781</v>
      </c>
      <c r="BC165" s="41" t="str">
        <f t="shared" si="194"/>
        <v>-3,50989633534294+5,90932606726686i</v>
      </c>
      <c r="BD165">
        <f t="shared" si="195"/>
        <v>16.743053552487059</v>
      </c>
      <c r="BE165" s="43">
        <f t="shared" si="196"/>
        <v>120.70856768021305</v>
      </c>
      <c r="BF165" s="41" t="str">
        <f t="shared" si="197"/>
        <v>35,1509754292152+28,1836651833498i</v>
      </c>
      <c r="BG165" s="20">
        <f t="shared" si="198"/>
        <v>33.07476795201832</v>
      </c>
      <c r="BH165" s="43">
        <f t="shared" si="199"/>
        <v>38.722254790728883</v>
      </c>
      <c r="BI165" s="41" t="str">
        <f t="shared" si="152"/>
        <v>110,595858334841+89,9925072883346i</v>
      </c>
      <c r="BJ165" s="20">
        <f t="shared" si="200"/>
        <v>43.081394133629729</v>
      </c>
      <c r="BK165" s="43">
        <f t="shared" si="153"/>
        <v>39.13545420140278</v>
      </c>
      <c r="BL165">
        <f t="shared" si="201"/>
        <v>33.07476795201832</v>
      </c>
      <c r="BM165" s="43">
        <f t="shared" si="202"/>
        <v>38.722254790728883</v>
      </c>
    </row>
    <row r="166" spans="14:65" x14ac:dyDescent="0.25">
      <c r="N166" s="9">
        <v>48</v>
      </c>
      <c r="O166" s="34">
        <f t="shared" si="154"/>
        <v>301.99517204020168</v>
      </c>
      <c r="P166" s="33" t="str">
        <f t="shared" si="155"/>
        <v>54,631621870174</v>
      </c>
      <c r="Q166" s="4" t="str">
        <f t="shared" si="156"/>
        <v>1+8,47021317696216i</v>
      </c>
      <c r="R166" s="4">
        <f t="shared" si="168"/>
        <v>8.5290392930964636</v>
      </c>
      <c r="S166" s="4">
        <f t="shared" si="169"/>
        <v>1.4532795257586228</v>
      </c>
      <c r="T166" s="4" t="str">
        <f t="shared" si="157"/>
        <v>1+0,0286900734123688i</v>
      </c>
      <c r="U166" s="4">
        <f t="shared" si="170"/>
        <v>1.0004114755001601</v>
      </c>
      <c r="V166" s="4">
        <f t="shared" si="171"/>
        <v>2.86822055036813E-2</v>
      </c>
      <c r="W166" t="str">
        <f t="shared" si="158"/>
        <v>1-0,00755076213873342i</v>
      </c>
      <c r="X166" s="4">
        <f t="shared" si="172"/>
        <v>1.0000285065981249</v>
      </c>
      <c r="Y166" s="4">
        <f t="shared" si="173"/>
        <v>-7.5506186439022512E-3</v>
      </c>
      <c r="Z166" t="str">
        <f t="shared" si="159"/>
        <v>0,999999635195664+0,00103741364697595i</v>
      </c>
      <c r="AA166" s="4">
        <f t="shared" si="174"/>
        <v>1.0000001733092529</v>
      </c>
      <c r="AB166" s="4">
        <f t="shared" si="175"/>
        <v>1.0374136532646995E-3</v>
      </c>
      <c r="AC166" s="47" t="str">
        <f t="shared" si="176"/>
        <v>0,879055836114797-6,34760413602939i</v>
      </c>
      <c r="AD166" s="20">
        <f t="shared" si="177"/>
        <v>16.134698963464253</v>
      </c>
      <c r="AE166" s="43">
        <f t="shared" si="178"/>
        <v>-82.115471961204761</v>
      </c>
      <c r="AF166" t="str">
        <f t="shared" si="160"/>
        <v>171,265703090588</v>
      </c>
      <c r="AG166" t="str">
        <f t="shared" si="161"/>
        <v>1+8,38915308916841i</v>
      </c>
      <c r="AH166">
        <f t="shared" si="179"/>
        <v>8.4485436350594689</v>
      </c>
      <c r="AI166">
        <f t="shared" si="180"/>
        <v>1.4521545965463847</v>
      </c>
      <c r="AJ166" t="str">
        <f t="shared" si="162"/>
        <v>1+0,0286900734123688i</v>
      </c>
      <c r="AK166">
        <f t="shared" si="181"/>
        <v>1.0004114755001601</v>
      </c>
      <c r="AL166">
        <f t="shared" si="182"/>
        <v>2.86822055036813E-2</v>
      </c>
      <c r="AM166" t="str">
        <f t="shared" si="163"/>
        <v>1-0,00238554660270861i</v>
      </c>
      <c r="AN166">
        <f t="shared" si="183"/>
        <v>1.0000028454122487</v>
      </c>
      <c r="AO166">
        <f t="shared" si="184"/>
        <v>-2.3855420774752745E-3</v>
      </c>
      <c r="AP166" s="41" t="str">
        <f t="shared" si="185"/>
        <v>2,92907357728228-20,0673833707376i</v>
      </c>
      <c r="AQ166">
        <f t="shared" si="186"/>
        <v>26.141369017076904</v>
      </c>
      <c r="AR166" s="43">
        <f t="shared" si="187"/>
        <v>-81.695641753033058</v>
      </c>
      <c r="AS166" t="str">
        <f t="shared" si="164"/>
        <v>-0,0000166666666666667</v>
      </c>
      <c r="AT166" t="str">
        <f t="shared" si="165"/>
        <v>2,90885466542072E-06i</v>
      </c>
      <c r="AU166">
        <f t="shared" si="188"/>
        <v>2.90885466542072E-6</v>
      </c>
      <c r="AV166">
        <f t="shared" si="189"/>
        <v>1.5707963267948966</v>
      </c>
      <c r="AW166" t="str">
        <f t="shared" si="166"/>
        <v>1+0,0134792458100232i</v>
      </c>
      <c r="AX166">
        <f t="shared" si="190"/>
        <v>1.0000908409077682</v>
      </c>
      <c r="AY166">
        <f t="shared" si="191"/>
        <v>1.3478429550644247E-2</v>
      </c>
      <c r="AZ166" t="str">
        <f t="shared" si="167"/>
        <v>1+0,626172237174716i</v>
      </c>
      <c r="BA166">
        <f t="shared" si="192"/>
        <v>1.1798693447193163</v>
      </c>
      <c r="BB166">
        <f t="shared" si="193"/>
        <v>0.55944182833714207</v>
      </c>
      <c r="BC166" s="41" t="str">
        <f t="shared" si="194"/>
        <v>-3,50986763873022+5,77694233164606i</v>
      </c>
      <c r="BD166">
        <f t="shared" si="195"/>
        <v>16.598423879172294</v>
      </c>
      <c r="BE166" s="43">
        <f t="shared" si="196"/>
        <v>121.28139851908421</v>
      </c>
      <c r="BF166" s="41" t="str">
        <f t="shared" si="197"/>
        <v>33,5843734061435+27,3575052120517i</v>
      </c>
      <c r="BG166" s="20">
        <f t="shared" si="198"/>
        <v>32.73312284263654</v>
      </c>
      <c r="BH166" s="43">
        <f t="shared" si="199"/>
        <v>39.16592655787943</v>
      </c>
      <c r="BI166" s="41" t="str">
        <f t="shared" si="152"/>
        <v>105,647455919421+87,3549486280528i</v>
      </c>
      <c r="BJ166" s="20">
        <f t="shared" si="200"/>
        <v>42.739792896249178</v>
      </c>
      <c r="BK166" s="43">
        <f t="shared" si="153"/>
        <v>39.585756766051247</v>
      </c>
      <c r="BL166">
        <f t="shared" si="201"/>
        <v>32.73312284263654</v>
      </c>
      <c r="BM166" s="43">
        <f t="shared" si="202"/>
        <v>39.16592655787943</v>
      </c>
    </row>
    <row r="167" spans="14:65" x14ac:dyDescent="0.25">
      <c r="N167" s="9">
        <v>49</v>
      </c>
      <c r="O167" s="34">
        <f t="shared" si="154"/>
        <v>309.02954325135937</v>
      </c>
      <c r="P167" s="33" t="str">
        <f t="shared" si="155"/>
        <v>54,631621870174</v>
      </c>
      <c r="Q167" s="4" t="str">
        <f t="shared" si="156"/>
        <v>1+8,66750978710947i</v>
      </c>
      <c r="R167" s="4">
        <f t="shared" si="168"/>
        <v>8.7250057827853862</v>
      </c>
      <c r="S167" s="4">
        <f t="shared" si="169"/>
        <v>1.4559307978094738</v>
      </c>
      <c r="T167" s="4" t="str">
        <f t="shared" si="157"/>
        <v>1+0,0293583510708974i</v>
      </c>
      <c r="U167" s="4">
        <f t="shared" si="170"/>
        <v>1.0004308635670944</v>
      </c>
      <c r="V167" s="4">
        <f t="shared" si="171"/>
        <v>2.9349920650934367E-2</v>
      </c>
      <c r="W167" t="str">
        <f t="shared" si="158"/>
        <v>1-0,00772664198294474i</v>
      </c>
      <c r="X167" s="4">
        <f t="shared" si="172"/>
        <v>1.0000298500526534</v>
      </c>
      <c r="Y167" s="4">
        <f t="shared" si="173"/>
        <v>-7.7264882257108156E-3</v>
      </c>
      <c r="Z167" t="str">
        <f t="shared" si="159"/>
        <v>0,999999618002966+0,00106157811504691i</v>
      </c>
      <c r="AA167" s="4">
        <f t="shared" si="174"/>
        <v>1.0000001814770698</v>
      </c>
      <c r="AB167" s="4">
        <f t="shared" si="175"/>
        <v>1.0615781217854243E-3</v>
      </c>
      <c r="AC167" s="47" t="str">
        <f t="shared" si="176"/>
        <v>0,845778178283646-6,20702503601295i</v>
      </c>
      <c r="AD167" s="20">
        <f t="shared" si="177"/>
        <v>15.937566727501002</v>
      </c>
      <c r="AE167" s="43">
        <f t="shared" si="178"/>
        <v>-82.240582507047733</v>
      </c>
      <c r="AF167" t="str">
        <f t="shared" si="160"/>
        <v>171,265703090588</v>
      </c>
      <c r="AG167" t="str">
        <f t="shared" si="161"/>
        <v>1+8,58456156731646i</v>
      </c>
      <c r="AH167">
        <f t="shared" si="179"/>
        <v>8.64260940359142</v>
      </c>
      <c r="AI167">
        <f t="shared" si="180"/>
        <v>1.4548307880252913</v>
      </c>
      <c r="AJ167" t="str">
        <f t="shared" si="162"/>
        <v>1+0,0293583510708974i</v>
      </c>
      <c r="AK167">
        <f t="shared" si="181"/>
        <v>1.0004308635670944</v>
      </c>
      <c r="AL167">
        <f t="shared" si="182"/>
        <v>2.9349920650934367E-2</v>
      </c>
      <c r="AM167" t="str">
        <f t="shared" si="163"/>
        <v>1-0,00244111312131088i</v>
      </c>
      <c r="AN167">
        <f t="shared" si="183"/>
        <v>1.0000029795121967</v>
      </c>
      <c r="AO167">
        <f t="shared" si="184"/>
        <v>-2.4411082724367806E-3</v>
      </c>
      <c r="AP167" s="41" t="str">
        <f t="shared" si="185"/>
        <v>2,82286174137972-19,6230307322038i</v>
      </c>
      <c r="AQ167">
        <f t="shared" si="186"/>
        <v>25.944277826364953</v>
      </c>
      <c r="AR167" s="43">
        <f t="shared" si="187"/>
        <v>-81.813902678543627</v>
      </c>
      <c r="AS167" t="str">
        <f t="shared" si="164"/>
        <v>-0,0000166666666666667</v>
      </c>
      <c r="AT167" t="str">
        <f t="shared" si="165"/>
        <v>2,97661059468821E-06i</v>
      </c>
      <c r="AU167">
        <f t="shared" si="188"/>
        <v>2.9766105946882101E-6</v>
      </c>
      <c r="AV167">
        <f t="shared" si="189"/>
        <v>1.5707963267948966</v>
      </c>
      <c r="AW167" t="str">
        <f t="shared" si="166"/>
        <v>1+0,0137932177786265i</v>
      </c>
      <c r="AX167">
        <f t="shared" si="190"/>
        <v>1.000095121904256</v>
      </c>
      <c r="AY167">
        <f t="shared" si="191"/>
        <v>1.3792343145436771E-2</v>
      </c>
      <c r="AZ167" t="str">
        <f t="shared" si="167"/>
        <v>1+0,640757662261649i</v>
      </c>
      <c r="BA167">
        <f t="shared" si="192"/>
        <v>1.1876743584615328</v>
      </c>
      <c r="BB167">
        <f t="shared" si="193"/>
        <v>0.56985050781589441</v>
      </c>
      <c r="BC167" s="41" t="str">
        <f t="shared" si="194"/>
        <v>-3,50983759019074+5,64762157085416i</v>
      </c>
      <c r="BD167">
        <f t="shared" si="195"/>
        <v>16.455655954678861</v>
      </c>
      <c r="BE167" s="43">
        <f t="shared" si="196"/>
        <v>121.85978599940778</v>
      </c>
      <c r="BF167" s="41" t="str">
        <f t="shared" si="197"/>
        <v>32,0863844411156+26,5622848784857i</v>
      </c>
      <c r="BG167" s="20">
        <f t="shared" si="198"/>
        <v>32.393222682179868</v>
      </c>
      <c r="BH167" s="43">
        <f t="shared" si="199"/>
        <v>39.61920349236</v>
      </c>
      <c r="BI167" s="41" t="str">
        <f t="shared" si="152"/>
        <v>100,915665396922+84,8161057595121i</v>
      </c>
      <c r="BJ167" s="20">
        <f t="shared" si="200"/>
        <v>42.399933781043792</v>
      </c>
      <c r="BK167" s="43">
        <f t="shared" si="153"/>
        <v>40.04588332086432</v>
      </c>
      <c r="BL167">
        <f t="shared" si="201"/>
        <v>32.393222682179868</v>
      </c>
      <c r="BM167" s="43">
        <f t="shared" si="202"/>
        <v>39.61920349236</v>
      </c>
    </row>
    <row r="168" spans="14:65" x14ac:dyDescent="0.25">
      <c r="N168" s="9">
        <v>50</v>
      </c>
      <c r="O168" s="34">
        <f t="shared" si="154"/>
        <v>316.22776601683825</v>
      </c>
      <c r="P168" s="33" t="str">
        <f t="shared" si="155"/>
        <v>54,631621870174</v>
      </c>
      <c r="Q168" s="4" t="str">
        <f t="shared" si="156"/>
        <v>1+8,86940202567396i</v>
      </c>
      <c r="R168" s="4">
        <f t="shared" si="168"/>
        <v>8.9255975874464184</v>
      </c>
      <c r="S168" s="4">
        <f t="shared" si="169"/>
        <v>1.4585232877733414</v>
      </c>
      <c r="T168" s="4" t="str">
        <f t="shared" si="157"/>
        <v>1+0,0300421949157674i</v>
      </c>
      <c r="U168" s="4">
        <f t="shared" si="170"/>
        <v>1.0004511649627668</v>
      </c>
      <c r="V168" s="4">
        <f t="shared" si="171"/>
        <v>3.0033161778027038E-2</v>
      </c>
      <c r="W168" t="str">
        <f t="shared" si="158"/>
        <v>1-0,00790661859500961i</v>
      </c>
      <c r="X168" s="4">
        <f t="shared" si="172"/>
        <v>1.0000312568203091</v>
      </c>
      <c r="Y168" s="4">
        <f t="shared" si="173"/>
        <v>-7.9064538414432596E-3</v>
      </c>
      <c r="Z168" t="str">
        <f t="shared" si="159"/>
        <v>0,9999996+0,00108630544588612i</v>
      </c>
      <c r="AA168" s="4">
        <f t="shared" si="174"/>
        <v>1.0000001900298228</v>
      </c>
      <c r="AB168" s="4">
        <f t="shared" si="175"/>
        <v>1.0863054531065669E-3</v>
      </c>
      <c r="AC168" s="47" t="str">
        <f t="shared" si="176"/>
        <v>0,813959768750263-6,06939563219277i</v>
      </c>
      <c r="AD168" s="20">
        <f t="shared" si="177"/>
        <v>15.740323545653784</v>
      </c>
      <c r="AE168" s="43">
        <f t="shared" si="178"/>
        <v>-82.36170244939747</v>
      </c>
      <c r="AF168" t="str">
        <f t="shared" si="160"/>
        <v>171,265703090588</v>
      </c>
      <c r="AG168" t="str">
        <f t="shared" si="161"/>
        <v>1+8,78452169363761i</v>
      </c>
      <c r="AH168">
        <f t="shared" si="179"/>
        <v>8.8412567763859098</v>
      </c>
      <c r="AI168">
        <f t="shared" si="180"/>
        <v>1.457447675257886</v>
      </c>
      <c r="AJ168" t="str">
        <f t="shared" si="162"/>
        <v>1+0,0300421949157674i</v>
      </c>
      <c r="AK168">
        <f t="shared" si="181"/>
        <v>1.0004511649627668</v>
      </c>
      <c r="AL168">
        <f t="shared" si="182"/>
        <v>3.0033161778027038E-2</v>
      </c>
      <c r="AM168" t="str">
        <f t="shared" si="163"/>
        <v>1-0,00249797395040202i</v>
      </c>
      <c r="AN168">
        <f t="shared" si="183"/>
        <v>1.0000031199320616</v>
      </c>
      <c r="AO168">
        <f t="shared" si="184"/>
        <v>-2.4979687547406894E-3</v>
      </c>
      <c r="AP168" s="41" t="str">
        <f t="shared" si="185"/>
        <v>2,72130503426419-19,1879827387832i</v>
      </c>
      <c r="AQ168">
        <f t="shared" si="186"/>
        <v>25.747072941310087</v>
      </c>
      <c r="AR168" s="43">
        <f t="shared" si="187"/>
        <v>-81.927950305117861</v>
      </c>
      <c r="AS168" t="str">
        <f t="shared" si="164"/>
        <v>-0,0000166666666666667</v>
      </c>
      <c r="AT168" t="str">
        <f t="shared" si="165"/>
        <v>3,04594476229309E-06i</v>
      </c>
      <c r="AU168">
        <f t="shared" si="188"/>
        <v>3.0459447622930898E-6</v>
      </c>
      <c r="AV168">
        <f t="shared" si="189"/>
        <v>1.5707963267948966</v>
      </c>
      <c r="AW168" t="str">
        <f t="shared" si="166"/>
        <v>1+0,0141145030938708i</v>
      </c>
      <c r="AX168">
        <f t="shared" si="190"/>
        <v>1.0000996046382513</v>
      </c>
      <c r="AY168">
        <f t="shared" si="191"/>
        <v>1.4113565912564055E-2</v>
      </c>
      <c r="AZ168" t="str">
        <f t="shared" si="167"/>
        <v>1+0,655682825542543i</v>
      </c>
      <c r="BA168">
        <f t="shared" si="192"/>
        <v>1.1957926106610013</v>
      </c>
      <c r="BB168">
        <f t="shared" si="193"/>
        <v>0.58035980902605266</v>
      </c>
      <c r="BC168" s="41" t="str">
        <f t="shared" si="194"/>
        <v>-3,50980612605866+5,52129521470531i</v>
      </c>
      <c r="BD168">
        <f t="shared" si="195"/>
        <v>16.314786724105598</v>
      </c>
      <c r="BE168" s="43">
        <f t="shared" si="196"/>
        <v>122.44351989554167</v>
      </c>
      <c r="BF168" s="41" t="str">
        <f t="shared" si="197"/>
        <v>30,6540840774543+25,7965141475073i</v>
      </c>
      <c r="BG168" s="20">
        <f t="shared" si="198"/>
        <v>32.055110269759382</v>
      </c>
      <c r="BH168" s="43">
        <f t="shared" si="199"/>
        <v>40.08181744614415</v>
      </c>
      <c r="BI168" s="41" t="str">
        <f t="shared" si="152"/>
        <v>96,3912641953571+82,3712278267255i</v>
      </c>
      <c r="BJ168" s="20">
        <f t="shared" si="200"/>
        <v>42.061859665415689</v>
      </c>
      <c r="BK168" s="43">
        <f t="shared" si="153"/>
        <v>40.515569590423802</v>
      </c>
      <c r="BL168">
        <f t="shared" si="201"/>
        <v>32.055110269759382</v>
      </c>
      <c r="BM168" s="43">
        <f t="shared" si="202"/>
        <v>40.08181744614415</v>
      </c>
    </row>
    <row r="169" spans="14:65" x14ac:dyDescent="0.25">
      <c r="N169" s="9">
        <v>51</v>
      </c>
      <c r="O169" s="34">
        <f t="shared" si="154"/>
        <v>323.59365692962825</v>
      </c>
      <c r="P169" s="33" t="str">
        <f t="shared" si="155"/>
        <v>54,631621870174</v>
      </c>
      <c r="Q169" s="4" t="str">
        <f t="shared" si="156"/>
        <v>1+9,07599693859289i</v>
      </c>
      <c r="R169" s="4">
        <f t="shared" si="168"/>
        <v>9.1309211161496471</v>
      </c>
      <c r="S169" s="4">
        <f t="shared" si="169"/>
        <v>1.4610582307542399</v>
      </c>
      <c r="T169" s="4" t="str">
        <f t="shared" si="157"/>
        <v>1+0,0307419675300373i</v>
      </c>
      <c r="U169" s="4">
        <f t="shared" si="170"/>
        <v>1.0004724226922088</v>
      </c>
      <c r="V169" s="4">
        <f t="shared" si="171"/>
        <v>3.0732288595392485E-2</v>
      </c>
      <c r="W169" t="str">
        <f t="shared" si="158"/>
        <v>1-0,00809078740091003i</v>
      </c>
      <c r="X169" s="4">
        <f t="shared" si="172"/>
        <v>1.0000327298847607</v>
      </c>
      <c r="Y169" s="4">
        <f t="shared" si="173"/>
        <v>-8.0906108645951314E-3</v>
      </c>
      <c r="Z169" t="str">
        <f t="shared" si="159"/>
        <v>0,999999581148581+0,00111160875025168i</v>
      </c>
      <c r="AA169" s="4">
        <f t="shared" si="174"/>
        <v>1.0000001989856557</v>
      </c>
      <c r="AB169" s="4">
        <f t="shared" si="175"/>
        <v>1.1116087579885264E-3</v>
      </c>
      <c r="AC169" s="47" t="str">
        <f t="shared" si="176"/>
        <v>0,783538254213282-5,93466516923571i</v>
      </c>
      <c r="AD169" s="20">
        <f t="shared" si="177"/>
        <v>15.542975056241621</v>
      </c>
      <c r="AE169" s="43">
        <f t="shared" si="178"/>
        <v>-82.47888816030158</v>
      </c>
      <c r="AF169" t="str">
        <f t="shared" si="160"/>
        <v>171,265703090588</v>
      </c>
      <c r="AG169" t="str">
        <f t="shared" si="161"/>
        <v>1+8,98913948963763i</v>
      </c>
      <c r="AH169">
        <f t="shared" si="179"/>
        <v>9.0445911330564108</v>
      </c>
      <c r="AI169">
        <f t="shared" si="180"/>
        <v>1.4600065023093489</v>
      </c>
      <c r="AJ169" t="str">
        <f t="shared" si="162"/>
        <v>1+0,0307419675300373i</v>
      </c>
      <c r="AK169">
        <f t="shared" si="181"/>
        <v>1.0004724226922088</v>
      </c>
      <c r="AL169">
        <f t="shared" si="182"/>
        <v>3.0732288595392485E-2</v>
      </c>
      <c r="AM169" t="str">
        <f t="shared" si="163"/>
        <v>1-0,00255615923834626i</v>
      </c>
      <c r="AN169">
        <f t="shared" si="183"/>
        <v>1.0000032669696892</v>
      </c>
      <c r="AO169">
        <f t="shared" si="184"/>
        <v>-2.5561536710958228E-3</v>
      </c>
      <c r="AP169" s="41" t="str">
        <f t="shared" si="185"/>
        <v>2,62420474932301-18,7620802667811i</v>
      </c>
      <c r="AQ169">
        <f t="shared" si="186"/>
        <v>25.549760073445636</v>
      </c>
      <c r="AR169" s="43">
        <f t="shared" si="187"/>
        <v>-82.037837029829603</v>
      </c>
      <c r="AS169" t="str">
        <f t="shared" si="164"/>
        <v>-0,0000166666666666667</v>
      </c>
      <c r="AT169" t="str">
        <f t="shared" si="165"/>
        <v>3,11689393012878E-06i</v>
      </c>
      <c r="AU169">
        <f t="shared" si="188"/>
        <v>3.1168939301287799E-6</v>
      </c>
      <c r="AV169">
        <f t="shared" si="189"/>
        <v>1.5707963267948966</v>
      </c>
      <c r="AW169" t="str">
        <f t="shared" si="166"/>
        <v>1+0,014443272105483i</v>
      </c>
      <c r="AX169">
        <f t="shared" si="190"/>
        <v>1.000104298615456</v>
      </c>
      <c r="AY169">
        <f t="shared" si="191"/>
        <v>1.4442267903276395E-2</v>
      </c>
      <c r="AZ169" t="str">
        <f t="shared" si="167"/>
        <v>1+0,670955640536528i</v>
      </c>
      <c r="BA169">
        <f t="shared" si="192"/>
        <v>1.2042348074888811</v>
      </c>
      <c r="BB169">
        <f t="shared" si="193"/>
        <v>0.59096601830010376</v>
      </c>
      <c r="BC169" s="41" t="str">
        <f t="shared" si="194"/>
        <v>-3,50977317967236+5,39789628050029i</v>
      </c>
      <c r="BD169">
        <f t="shared" si="195"/>
        <v>16.175852169122205</v>
      </c>
      <c r="BE169" s="43">
        <f t="shared" si="196"/>
        <v>123.03237768679197</v>
      </c>
      <c r="BF169" s="41" t="str">
        <f t="shared" si="197"/>
        <v>29,284665493147+25,0587868693668i</v>
      </c>
      <c r="BG169" s="20">
        <f t="shared" si="198"/>
        <v>31.718827225363828</v>
      </c>
      <c r="BH169" s="43">
        <f t="shared" si="199"/>
        <v>40.553489526490395</v>
      </c>
      <c r="BI169" s="41" t="str">
        <f t="shared" si="152"/>
        <v>92,0653998393629+80,0158311708502i</v>
      </c>
      <c r="BJ169" s="20">
        <f t="shared" si="200"/>
        <v>41.725612242567834</v>
      </c>
      <c r="BK169" s="43">
        <f t="shared" si="153"/>
        <v>40.994540656962357</v>
      </c>
      <c r="BL169">
        <f t="shared" si="201"/>
        <v>31.718827225363828</v>
      </c>
      <c r="BM169" s="43">
        <f t="shared" si="202"/>
        <v>40.553489526490395</v>
      </c>
    </row>
    <row r="170" spans="14:65" x14ac:dyDescent="0.25">
      <c r="N170" s="9">
        <v>52</v>
      </c>
      <c r="O170" s="34">
        <f t="shared" si="154"/>
        <v>331.13112148259137</v>
      </c>
      <c r="P170" s="33" t="str">
        <f t="shared" si="155"/>
        <v>54,631621870174</v>
      </c>
      <c r="Q170" s="4" t="str">
        <f t="shared" si="156"/>
        <v>1+9,28740406522371i</v>
      </c>
      <c r="R170" s="4">
        <f t="shared" si="168"/>
        <v>9.3410852833455014</v>
      </c>
      <c r="S170" s="4">
        <f t="shared" si="169"/>
        <v>1.4635368404267668</v>
      </c>
      <c r="T170" s="4" t="str">
        <f t="shared" si="157"/>
        <v>1+0,0314580399424097i</v>
      </c>
      <c r="U170" s="4">
        <f t="shared" si="170"/>
        <v>1.0004946817834757</v>
      </c>
      <c r="V170" s="4">
        <f t="shared" si="171"/>
        <v>3.1447669054015213E-2</v>
      </c>
      <c r="W170" t="str">
        <f t="shared" si="158"/>
        <v>1-0,00827924604938468i</v>
      </c>
      <c r="X170" s="4">
        <f t="shared" si="172"/>
        <v>1.0000342723702753</v>
      </c>
      <c r="Y170" s="4">
        <f t="shared" si="173"/>
        <v>-8.2790568876653179E-3</v>
      </c>
      <c r="Z170" t="str">
        <f t="shared" si="159"/>
        <v>0,999999561408722+0,00113750144429052i</v>
      </c>
      <c r="AA170" s="4">
        <f t="shared" si="174"/>
        <v>1.0000002083635644</v>
      </c>
      <c r="AB170" s="4">
        <f t="shared" si="175"/>
        <v>1.1375014525806977E-3</v>
      </c>
      <c r="AC170" s="47" t="str">
        <f t="shared" si="176"/>
        <v>0,754453803163044-5,80278300632824i</v>
      </c>
      <c r="AD170" s="20">
        <f t="shared" si="177"/>
        <v>15.345526692148599</v>
      </c>
      <c r="AE170" s="43">
        <f t="shared" si="178"/>
        <v>-82.592194456480769</v>
      </c>
      <c r="AF170" t="str">
        <f t="shared" si="160"/>
        <v>171,265703090588</v>
      </c>
      <c r="AG170" t="str">
        <f t="shared" si="161"/>
        <v>1+9,19852344638041i</v>
      </c>
      <c r="AH170">
        <f t="shared" si="179"/>
        <v>9.2527203347777736</v>
      </c>
      <c r="AI170">
        <f t="shared" si="180"/>
        <v>1.4625084917977187</v>
      </c>
      <c r="AJ170" t="str">
        <f t="shared" si="162"/>
        <v>1+0,0314580399424097i</v>
      </c>
      <c r="AK170">
        <f t="shared" si="181"/>
        <v>1.0004946817834757</v>
      </c>
      <c r="AL170">
        <f t="shared" si="182"/>
        <v>3.1447669054015213E-2</v>
      </c>
      <c r="AM170" t="str">
        <f t="shared" si="163"/>
        <v>1-0,00261569983575344i</v>
      </c>
      <c r="AN170">
        <f t="shared" si="183"/>
        <v>1.0000034209369639</v>
      </c>
      <c r="AO170">
        <f t="shared" si="184"/>
        <v>-2.6156938703382217E-3</v>
      </c>
      <c r="AP170" s="41" t="str">
        <f t="shared" si="185"/>
        <v>2,53137019842285-18,3451644645169i</v>
      </c>
      <c r="AQ170">
        <f t="shared" si="186"/>
        <v>25.352344723884663</v>
      </c>
      <c r="AR170" s="43">
        <f t="shared" si="187"/>
        <v>-82.143613589002072</v>
      </c>
      <c r="AS170" t="str">
        <f t="shared" si="164"/>
        <v>-0,0000166666666666667</v>
      </c>
      <c r="AT170" t="str">
        <f t="shared" si="165"/>
        <v>0,0000031894957163832i</v>
      </c>
      <c r="AU170">
        <f t="shared" si="188"/>
        <v>3.1894957163832001E-6</v>
      </c>
      <c r="AV170">
        <f t="shared" si="189"/>
        <v>1.5707963267948966</v>
      </c>
      <c r="AW170" t="str">
        <f t="shared" si="166"/>
        <v>1+0,0147796991311449i</v>
      </c>
      <c r="AX170">
        <f t="shared" si="190"/>
        <v>1.0001092137893777</v>
      </c>
      <c r="AY170">
        <f t="shared" si="191"/>
        <v>1.4778623115440299E-2</v>
      </c>
      <c r="AZ170" t="str">
        <f t="shared" si="167"/>
        <v>1+0,686584205092276i</v>
      </c>
      <c r="BA170">
        <f t="shared" si="192"/>
        <v>1.213011900470145</v>
      </c>
      <c r="BB170">
        <f t="shared" si="193"/>
        <v>0.60166521419518559</v>
      </c>
      <c r="BC170" s="41" t="str">
        <f t="shared" si="194"/>
        <v>-3,50973868123366+5,27735933749813i</v>
      </c>
      <c r="BD170">
        <f t="shared" si="195"/>
        <v>16.038887193176091</v>
      </c>
      <c r="BE170" s="43">
        <f t="shared" si="196"/>
        <v>123.62612472168962</v>
      </c>
      <c r="BF170" s="41" t="str">
        <f t="shared" si="197"/>
        <v>27,9754353857566+24,347775798949i</v>
      </c>
      <c r="BG170" s="20">
        <f t="shared" si="198"/>
        <v>31.384413885324676</v>
      </c>
      <c r="BH170" s="43">
        <f t="shared" si="199"/>
        <v>41.033930265208852</v>
      </c>
      <c r="BI170" s="41" t="str">
        <f t="shared" si="152"/>
        <v>87,9295770828303+77,7456834880195i</v>
      </c>
      <c r="BJ170" s="20">
        <f t="shared" si="200"/>
        <v>41.391231917060757</v>
      </c>
      <c r="BK170" s="43">
        <f t="shared" si="153"/>
        <v>41.482511132687591</v>
      </c>
      <c r="BL170">
        <f t="shared" si="201"/>
        <v>31.384413885324676</v>
      </c>
      <c r="BM170" s="43">
        <f t="shared" si="202"/>
        <v>41.033930265208852</v>
      </c>
    </row>
    <row r="171" spans="14:65" x14ac:dyDescent="0.25">
      <c r="N171" s="9">
        <v>53</v>
      </c>
      <c r="O171" s="34">
        <f t="shared" si="154"/>
        <v>338.84415613920277</v>
      </c>
      <c r="P171" s="33" t="str">
        <f t="shared" si="155"/>
        <v>54,631621870174</v>
      </c>
      <c r="Q171" s="4" t="str">
        <f t="shared" si="156"/>
        <v>1+9,50373549642317i</v>
      </c>
      <c r="R171" s="4">
        <f t="shared" si="168"/>
        <v>9.5562015668346874</v>
      </c>
      <c r="S171" s="4">
        <f t="shared" si="169"/>
        <v>1.4659603090975126</v>
      </c>
      <c r="T171" s="4" t="str">
        <f t="shared" si="157"/>
        <v>1+0,0321907918239558i</v>
      </c>
      <c r="U171" s="4">
        <f t="shared" si="170"/>
        <v>1.0005179893826264</v>
      </c>
      <c r="V171" s="4">
        <f t="shared" si="171"/>
        <v>3.2179679527530751E-2</v>
      </c>
      <c r="W171" t="str">
        <f t="shared" si="158"/>
        <v>1-0,00847209446370343i</v>
      </c>
      <c r="X171" s="4">
        <f t="shared" si="172"/>
        <v>1.0000358875483428</v>
      </c>
      <c r="Y171" s="4">
        <f t="shared" si="173"/>
        <v>-8.4718917736621695E-3</v>
      </c>
      <c r="Z171" t="str">
        <f t="shared" si="159"/>
        <v>0,999999540738551+0,00116399725665172i</v>
      </c>
      <c r="AA171" s="4">
        <f t="shared" si="174"/>
        <v>1.0000002181834393</v>
      </c>
      <c r="AB171" s="4">
        <f t="shared" si="175"/>
        <v>1.1639972655348042E-3</v>
      </c>
      <c r="AC171" s="47" t="str">
        <f t="shared" si="176"/>
        <v>0,726649016417891-5,67369867887802i</v>
      </c>
      <c r="AD171" s="20">
        <f t="shared" si="177"/>
        <v>15.147983690789227</v>
      </c>
      <c r="AE171" s="43">
        <f t="shared" si="178"/>
        <v>-82.701674595772403</v>
      </c>
      <c r="AF171" t="str">
        <f t="shared" si="160"/>
        <v>171,265703090588</v>
      </c>
      <c r="AG171" t="str">
        <f t="shared" si="161"/>
        <v>1+9,41278458201125i</v>
      </c>
      <c r="AH171">
        <f t="shared" si="179"/>
        <v>9.4657547817038186</v>
      </c>
      <c r="AI171">
        <f t="shared" si="180"/>
        <v>1.4649548449442193</v>
      </c>
      <c r="AJ171" t="str">
        <f t="shared" si="162"/>
        <v>1+0,0321907918239558i</v>
      </c>
      <c r="AK171">
        <f t="shared" si="181"/>
        <v>1.0005179893826264</v>
      </c>
      <c r="AL171">
        <f t="shared" si="182"/>
        <v>3.2179679527530751E-2</v>
      </c>
      <c r="AM171" t="str">
        <f t="shared" si="163"/>
        <v>1-0,00267662731183641i</v>
      </c>
      <c r="AN171">
        <f t="shared" si="183"/>
        <v>1.0000035821604674</v>
      </c>
      <c r="AO171">
        <f t="shared" si="184"/>
        <v>-2.6766209197800765E-3</v>
      </c>
      <c r="AP171" s="41" t="str">
        <f t="shared" si="185"/>
        <v>2,44261842907287-17,9370769526143i</v>
      </c>
      <c r="AQ171">
        <f t="shared" si="186"/>
        <v>25.154832193371615</v>
      </c>
      <c r="AR171" s="43">
        <f t="shared" si="187"/>
        <v>-82.245329051594496</v>
      </c>
      <c r="AS171" t="str">
        <f t="shared" si="164"/>
        <v>-0,0000166666666666667</v>
      </c>
      <c r="AT171" t="str">
        <f t="shared" si="165"/>
        <v>3,26378861548441E-06i</v>
      </c>
      <c r="AU171">
        <f t="shared" si="188"/>
        <v>3.26378861548441E-6</v>
      </c>
      <c r="AV171">
        <f t="shared" si="189"/>
        <v>1.5707963267948966</v>
      </c>
      <c r="AW171" t="str">
        <f t="shared" si="166"/>
        <v>1+0,0151239625489184i</v>
      </c>
      <c r="AX171">
        <f t="shared" si="190"/>
        <v>1.0001143605824192</v>
      </c>
      <c r="AY171">
        <f t="shared" si="191"/>
        <v>1.5122809584438563E-2</v>
      </c>
      <c r="AZ171" t="str">
        <f t="shared" si="167"/>
        <v>1+0,702576805681575i</v>
      </c>
      <c r="BA171">
        <f t="shared" si="192"/>
        <v>1.2221350857747786</v>
      </c>
      <c r="BB171">
        <f t="shared" si="193"/>
        <v>0.61245327141248262</v>
      </c>
      <c r="BC171" s="41" t="str">
        <f t="shared" si="194"/>
        <v>-3,50970255766047+5,15962047220958i</v>
      </c>
      <c r="BD171">
        <f t="shared" si="195"/>
        <v>15.903925506677121</v>
      </c>
      <c r="BE171" s="43">
        <f t="shared" si="196"/>
        <v>124.22451443734722</v>
      </c>
      <c r="BF171" s="41" t="str">
        <f t="shared" si="197"/>
        <v>26,7238099452441+23,6622279058737i</v>
      </c>
      <c r="BG171" s="20">
        <f t="shared" si="198"/>
        <v>31.051909197466333</v>
      </c>
      <c r="BH171" s="43">
        <f t="shared" si="199"/>
        <v>41.522839841574843</v>
      </c>
      <c r="BI171" s="41" t="str">
        <f t="shared" si="152"/>
        <v>83,9756453084017+75,5567889099839i</v>
      </c>
      <c r="BJ171" s="20">
        <f t="shared" si="200"/>
        <v>41.05875770004873</v>
      </c>
      <c r="BK171" s="43">
        <f t="shared" si="153"/>
        <v>41.97918538575275</v>
      </c>
      <c r="BL171">
        <f t="shared" si="201"/>
        <v>31.051909197466333</v>
      </c>
      <c r="BM171" s="43">
        <f t="shared" si="202"/>
        <v>41.522839841574843</v>
      </c>
    </row>
    <row r="172" spans="14:65" x14ac:dyDescent="0.25">
      <c r="N172" s="9">
        <v>54</v>
      </c>
      <c r="O172" s="34">
        <f t="shared" si="154"/>
        <v>346.73685045253183</v>
      </c>
      <c r="P172" s="33" t="str">
        <f t="shared" si="155"/>
        <v>54,631621870174</v>
      </c>
      <c r="Q172" s="4" t="str">
        <f t="shared" si="156"/>
        <v>1+9,72510593397969i</v>
      </c>
      <c r="R172" s="4">
        <f t="shared" si="168"/>
        <v>9.7763840670836455</v>
      </c>
      <c r="S172" s="4">
        <f t="shared" si="169"/>
        <v>1.4683298077914382</v>
      </c>
      <c r="T172" s="4" t="str">
        <f t="shared" si="157"/>
        <v>1+0,0329406116894226i</v>
      </c>
      <c r="U172" s="4">
        <f t="shared" si="170"/>
        <v>1.0005423948531482</v>
      </c>
      <c r="V172" s="4">
        <f t="shared" si="171"/>
        <v>3.2928704997867382E-2</v>
      </c>
      <c r="W172" t="str">
        <f t="shared" si="158"/>
        <v>1-0,00866943489464829i</v>
      </c>
      <c r="X172" s="4">
        <f t="shared" si="172"/>
        <v>1.0000375788446114</v>
      </c>
      <c r="Y172" s="4">
        <f t="shared" si="173"/>
        <v>-8.6692177087968805E-3</v>
      </c>
      <c r="Z172" t="str">
        <f t="shared" si="159"/>
        <v>0,999999519094226+0,00119111023576572i</v>
      </c>
      <c r="AA172" s="4">
        <f t="shared" si="174"/>
        <v>1.0000002284661125</v>
      </c>
      <c r="AB172" s="4">
        <f t="shared" si="175"/>
        <v>1.1911102452841135E-3</v>
      </c>
      <c r="AC172" s="47" t="str">
        <f t="shared" si="176"/>
        <v>0,700068839697734-5,54736195506884i</v>
      </c>
      <c r="AD172" s="20">
        <f t="shared" si="177"/>
        <v>14.950351103789615</v>
      </c>
      <c r="AE172" s="43">
        <f t="shared" si="178"/>
        <v>-82.807380274879364</v>
      </c>
      <c r="AF172" t="str">
        <f t="shared" si="160"/>
        <v>171,265703090588</v>
      </c>
      <c r="AG172" t="str">
        <f t="shared" si="161"/>
        <v>1+9,63203650062044i</v>
      </c>
      <c r="AH172">
        <f t="shared" si="179"/>
        <v>9.6838074717171274</v>
      </c>
      <c r="AI172">
        <f t="shared" si="180"/>
        <v>1.4673467416494752</v>
      </c>
      <c r="AJ172" t="str">
        <f t="shared" si="162"/>
        <v>1+0,0329406116894226i</v>
      </c>
      <c r="AK172">
        <f t="shared" si="181"/>
        <v>1.0005423948531482</v>
      </c>
      <c r="AL172">
        <f t="shared" si="182"/>
        <v>3.2928704997867382E-2</v>
      </c>
      <c r="AM172" t="str">
        <f t="shared" si="163"/>
        <v>1-0,00273897397114947i</v>
      </c>
      <c r="AN172">
        <f t="shared" si="183"/>
        <v>1.0000037509821724</v>
      </c>
      <c r="AO172">
        <f t="shared" si="184"/>
        <v>-2.7389671219390961E-3</v>
      </c>
      <c r="AP172" s="41" t="str">
        <f t="shared" si="185"/>
        <v>2,357773947866-17,53766000775i</v>
      </c>
      <c r="AQ172">
        <f t="shared" si="186"/>
        <v>24.957227592044507</v>
      </c>
      <c r="AR172" s="43">
        <f t="shared" si="187"/>
        <v>-82.343030813891176</v>
      </c>
      <c r="AS172" t="str">
        <f t="shared" si="164"/>
        <v>-0,0000166666666666667</v>
      </c>
      <c r="AT172" t="str">
        <f t="shared" si="165"/>
        <v>3,33981201851091E-06i</v>
      </c>
      <c r="AU172">
        <f t="shared" si="188"/>
        <v>3.3398120185109099E-6</v>
      </c>
      <c r="AV172">
        <f t="shared" si="189"/>
        <v>1.5707963267948966</v>
      </c>
      <c r="AW172" t="str">
        <f t="shared" si="166"/>
        <v>1+0,0154762448918248i</v>
      </c>
      <c r="AX172">
        <f t="shared" si="190"/>
        <v>1.0001197499079557</v>
      </c>
      <c r="AY172">
        <f t="shared" si="191"/>
        <v>1.5475009476115482E-2</v>
      </c>
      <c r="AZ172" t="str">
        <f t="shared" si="167"/>
        <v>1+0,718941921792953i</v>
      </c>
      <c r="BA172">
        <f t="shared" si="192"/>
        <v>1.2316158032890552</v>
      </c>
      <c r="BB172">
        <f t="shared" si="193"/>
        <v>0.62332586569787574</v>
      </c>
      <c r="BC172" s="41" t="str">
        <f t="shared" si="194"/>
        <v>-3,50966473243271+5,04461725449408i</v>
      </c>
      <c r="BD172">
        <f t="shared" si="195"/>
        <v>15.770999512863042</v>
      </c>
      <c r="BE172" s="43">
        <f t="shared" si="196"/>
        <v>124.82728863492022</v>
      </c>
      <c r="BF172" s="41" t="str">
        <f t="shared" si="197"/>
        <v>25,5273109185021+23,0009599598169i</v>
      </c>
      <c r="BG172" s="20">
        <f t="shared" si="198"/>
        <v>30.721350616652661</v>
      </c>
      <c r="BH172" s="43">
        <f t="shared" si="199"/>
        <v>42.019908360040787</v>
      </c>
      <c r="BI172" s="41" t="str">
        <f t="shared" si="152"/>
        <v>80,1957862066725+73,4453739581972i</v>
      </c>
      <c r="BJ172" s="20">
        <f t="shared" si="200"/>
        <v>40.728227104907553</v>
      </c>
      <c r="BK172" s="43">
        <f t="shared" si="153"/>
        <v>42.484257821029054</v>
      </c>
      <c r="BL172">
        <f t="shared" si="201"/>
        <v>30.721350616652661</v>
      </c>
      <c r="BM172" s="43">
        <f t="shared" si="202"/>
        <v>42.019908360040787</v>
      </c>
    </row>
    <row r="173" spans="14:65" x14ac:dyDescent="0.25">
      <c r="N173" s="9">
        <v>55</v>
      </c>
      <c r="O173" s="34">
        <f t="shared" si="154"/>
        <v>354.81338923357566</v>
      </c>
      <c r="P173" s="33" t="str">
        <f t="shared" si="155"/>
        <v>54,631621870174</v>
      </c>
      <c r="Q173" s="4" t="str">
        <f t="shared" si="156"/>
        <v>1+9,95163275142939i</v>
      </c>
      <c r="R173" s="4">
        <f t="shared" si="168"/>
        <v>10.001749567916709</v>
      </c>
      <c r="S173" s="4">
        <f t="shared" si="169"/>
        <v>1.470646486361102</v>
      </c>
      <c r="T173" s="4" t="str">
        <f t="shared" si="157"/>
        <v>1+0,0337078971032276i</v>
      </c>
      <c r="U173" s="4">
        <f t="shared" si="170"/>
        <v>1.0005679498800277</v>
      </c>
      <c r="V173" s="4">
        <f t="shared" si="171"/>
        <v>3.3695139244460909E-2</v>
      </c>
      <c r="W173" t="str">
        <f t="shared" si="158"/>
        <v>1-0,00887137197472783i</v>
      </c>
      <c r="X173" s="4">
        <f t="shared" si="172"/>
        <v>1.0000393498461517</v>
      </c>
      <c r="Y173" s="4">
        <f t="shared" si="173"/>
        <v>-8.8711392563897828E-3</v>
      </c>
      <c r="Z173" t="str">
        <f t="shared" si="159"/>
        <v>0,999999496429835+0,00121885475729294i</v>
      </c>
      <c r="AA173" s="4">
        <f t="shared" si="174"/>
        <v>1.0000002392333929</v>
      </c>
      <c r="AB173" s="4">
        <f t="shared" si="175"/>
        <v>1.2188547674920796E-3</v>
      </c>
      <c r="AC173" s="47" t="str">
        <f t="shared" si="176"/>
        <v>0,674660478302703-5,42372288757988i</v>
      </c>
      <c r="AD173" s="20">
        <f t="shared" si="177"/>
        <v>14.75263380639468</v>
      </c>
      <c r="AE173" s="43">
        <f t="shared" si="178"/>
        <v>-82.909361628302335</v>
      </c>
      <c r="AF173" t="str">
        <f t="shared" si="160"/>
        <v>171,265703090588</v>
      </c>
      <c r="AG173" t="str">
        <f t="shared" si="161"/>
        <v>1+9,85639545247733i</v>
      </c>
      <c r="AH173">
        <f t="shared" si="179"/>
        <v>9.9069940605420648</v>
      </c>
      <c r="AI173">
        <f t="shared" si="180"/>
        <v>1.4696853405934411</v>
      </c>
      <c r="AJ173" t="str">
        <f t="shared" si="162"/>
        <v>1+0,0337078971032276i</v>
      </c>
      <c r="AK173">
        <f t="shared" si="181"/>
        <v>1.0005679498800277</v>
      </c>
      <c r="AL173">
        <f t="shared" si="182"/>
        <v>3.3695139244460909E-2</v>
      </c>
      <c r="AM173" t="str">
        <f t="shared" si="163"/>
        <v>1-0,00280277287071664i</v>
      </c>
      <c r="AN173">
        <f t="shared" si="183"/>
        <v>1.0000039277601687</v>
      </c>
      <c r="AO173">
        <f t="shared" si="184"/>
        <v>-2.8027655316570561E-3</v>
      </c>
      <c r="AP173" s="41" t="str">
        <f t="shared" si="185"/>
        <v>2,27666845043188-17,1467567308524i</v>
      </c>
      <c r="AQ173">
        <f t="shared" si="186"/>
        <v>24.759535848916975</v>
      </c>
      <c r="AR173" s="43">
        <f t="shared" si="187"/>
        <v>-82.436764595366526</v>
      </c>
      <c r="AS173" t="str">
        <f t="shared" si="164"/>
        <v>-0,0000166666666666667</v>
      </c>
      <c r="AT173" t="str">
        <f t="shared" si="165"/>
        <v>3,41760623407725E-06i</v>
      </c>
      <c r="AU173">
        <f t="shared" si="188"/>
        <v>3.4176062340772499E-6</v>
      </c>
      <c r="AV173">
        <f t="shared" si="189"/>
        <v>1.5707963267948966</v>
      </c>
      <c r="AW173" t="str">
        <f t="shared" si="166"/>
        <v>1+0,0158367329446251i</v>
      </c>
      <c r="AX173">
        <f t="shared" si="190"/>
        <v>1.0001253931934533</v>
      </c>
      <c r="AY173">
        <f t="shared" si="191"/>
        <v>1.5835409181806325E-2</v>
      </c>
      <c r="AZ173" t="str">
        <f t="shared" si="167"/>
        <v>1+0,735688230427587i</v>
      </c>
      <c r="BA173">
        <f t="shared" si="192"/>
        <v>1.2414657354875624</v>
      </c>
      <c r="BB173">
        <f t="shared" si="193"/>
        <v>0.63427847973405149</v>
      </c>
      <c r="BC173" s="41" t="str">
        <f t="shared" si="194"/>
        <v>-3,50962512543076+4,93228870444214i</v>
      </c>
      <c r="BD173">
        <f t="shared" si="195"/>
        <v>15.640140195077134</v>
      </c>
      <c r="BE173" s="43">
        <f t="shared" si="196"/>
        <v>125.43417781175515</v>
      </c>
      <c r="BF173" s="41" t="str">
        <f t="shared" si="197"/>
        <v>24,3835617686482+22,3628543760902i</v>
      </c>
      <c r="BG173" s="20">
        <f t="shared" si="198"/>
        <v>30.39277400147181</v>
      </c>
      <c r="BH173" s="43">
        <f t="shared" si="199"/>
        <v>42.524816183452913</v>
      </c>
      <c r="BI173" s="41" t="str">
        <f t="shared" si="152"/>
        <v>76,5825017454893+71,4078743240735i</v>
      </c>
      <c r="BJ173" s="20">
        <f t="shared" si="200"/>
        <v>40.399676043994106</v>
      </c>
      <c r="BK173" s="43">
        <f t="shared" si="153"/>
        <v>42.997413216388601</v>
      </c>
      <c r="BL173">
        <f t="shared" si="201"/>
        <v>30.39277400147181</v>
      </c>
      <c r="BM173" s="43">
        <f t="shared" si="202"/>
        <v>42.524816183452913</v>
      </c>
    </row>
    <row r="174" spans="14:65" x14ac:dyDescent="0.25">
      <c r="N174" s="9">
        <v>56</v>
      </c>
      <c r="O174" s="34">
        <f t="shared" si="154"/>
        <v>363.07805477010152</v>
      </c>
      <c r="P174" s="33" t="str">
        <f t="shared" si="155"/>
        <v>54,631621870174</v>
      </c>
      <c r="Q174" s="4" t="str">
        <f t="shared" si="156"/>
        <v>1+10,1834360562894i</v>
      </c>
      <c r="R174" s="4">
        <f t="shared" si="168"/>
        <v>10.232417598619351</v>
      </c>
      <c r="S174" s="4">
        <f t="shared" si="169"/>
        <v>1.4729114736167699</v>
      </c>
      <c r="T174" s="4" t="str">
        <f t="shared" si="157"/>
        <v>1+0,0344930548902537i</v>
      </c>
      <c r="U174" s="4">
        <f t="shared" si="170"/>
        <v>1.0005947085786842</v>
      </c>
      <c r="V174" s="4">
        <f t="shared" si="171"/>
        <v>3.44793850370761E-2</v>
      </c>
      <c r="W174" t="str">
        <f t="shared" si="158"/>
        <v>1-0,0090780127736549i</v>
      </c>
      <c r="X174" s="4">
        <f t="shared" si="172"/>
        <v>1.0000412043090618</v>
      </c>
      <c r="Y174" s="4">
        <f t="shared" si="173"/>
        <v>-9.0777634120179033E-3</v>
      </c>
      <c r="Z174" t="str">
        <f t="shared" si="159"/>
        <v>0,999999472697305+0,00124724553174593i</v>
      </c>
      <c r="AA174" s="4">
        <f t="shared" si="174"/>
        <v>1.0000002505081209</v>
      </c>
      <c r="AB174" s="4">
        <f t="shared" si="175"/>
        <v>1.2472455426745005E-3</v>
      </c>
      <c r="AC174" s="47" t="str">
        <f t="shared" si="176"/>
        <v>0,650373313949229-5,30273186076486i</v>
      </c>
      <c r="AD174" s="20">
        <f t="shared" si="177"/>
        <v>14.554836506610256</v>
      </c>
      <c r="AE174" s="43">
        <f t="shared" si="178"/>
        <v>-83.007667228343308</v>
      </c>
      <c r="AF174" t="str">
        <f t="shared" si="160"/>
        <v>171,265703090588</v>
      </c>
      <c r="AG174" t="str">
        <f t="shared" si="161"/>
        <v>1+10,085980395668i</v>
      </c>
      <c r="AH174">
        <f t="shared" si="179"/>
        <v>10.135432923254895</v>
      </c>
      <c r="AI174">
        <f t="shared" si="180"/>
        <v>1.4719717793570277</v>
      </c>
      <c r="AJ174" t="str">
        <f t="shared" si="162"/>
        <v>1+0,0344930548902537i</v>
      </c>
      <c r="AK174">
        <f t="shared" si="181"/>
        <v>1.0005947085786842</v>
      </c>
      <c r="AL174">
        <f t="shared" si="182"/>
        <v>3.44793850370761E-2</v>
      </c>
      <c r="AM174" t="str">
        <f t="shared" si="163"/>
        <v>1-0,00286805783755896i</v>
      </c>
      <c r="AN174">
        <f t="shared" si="183"/>
        <v>1.0000041128694219</v>
      </c>
      <c r="AO174">
        <f t="shared" si="184"/>
        <v>-2.86804997361668E-3</v>
      </c>
      <c r="AP174" s="41" t="str">
        <f t="shared" si="185"/>
        <v>2,19914055808506-16,7642112006968i</v>
      </c>
      <c r="AQ174">
        <f t="shared" si="186"/>
        <v>24.561761721089805</v>
      </c>
      <c r="AR174" s="43">
        <f t="shared" si="187"/>
        <v>-82.526574435609589</v>
      </c>
      <c r="AS174" t="str">
        <f t="shared" si="164"/>
        <v>-0,0000166666666666667</v>
      </c>
      <c r="AT174" t="str">
        <f t="shared" si="165"/>
        <v>3,49721250970627E-06i</v>
      </c>
      <c r="AU174">
        <f t="shared" si="188"/>
        <v>3.4972125097062702E-6</v>
      </c>
      <c r="AV174">
        <f t="shared" si="189"/>
        <v>1.5707963267948966</v>
      </c>
      <c r="AW174" t="str">
        <f t="shared" si="166"/>
        <v>1+0,0162056178428567i</v>
      </c>
      <c r="AX174">
        <f t="shared" si="190"/>
        <v>1.0001313024046736</v>
      </c>
      <c r="AY174">
        <f t="shared" si="191"/>
        <v>1.6204199415498159E-2</v>
      </c>
      <c r="AZ174" t="str">
        <f t="shared" si="167"/>
        <v>1+0,752824610699981i</v>
      </c>
      <c r="BA174">
        <f t="shared" si="192"/>
        <v>1.2516968061298144</v>
      </c>
      <c r="BB174">
        <f t="shared" si="193"/>
        <v>0.64530641002625788</v>
      </c>
      <c r="BC174" s="41" t="str">
        <f t="shared" si="194"/>
        <v>-3,50958365276642+4,82257526002538i</v>
      </c>
      <c r="BD174">
        <f t="shared" si="195"/>
        <v>15.511377006212498</v>
      </c>
      <c r="BE174" s="43">
        <f t="shared" si="196"/>
        <v>126.04490155034678</v>
      </c>
      <c r="BF174" s="41" t="str">
        <f t="shared" si="197"/>
        <v>23,2902839314412+21,7468553071763i</v>
      </c>
      <c r="BG174" s="20">
        <f t="shared" si="198"/>
        <v>30.066213512822753</v>
      </c>
      <c r="BH174" s="43">
        <f t="shared" si="199"/>
        <v>43.037234322003528</v>
      </c>
      <c r="BI174" s="41" t="str">
        <f t="shared" si="152"/>
        <v>73,1286024375298+69,4409224302286i</v>
      </c>
      <c r="BJ174" s="20">
        <f t="shared" si="200"/>
        <v>40.0731387273023</v>
      </c>
      <c r="BK174" s="43">
        <f t="shared" si="153"/>
        <v>43.518327114737183</v>
      </c>
      <c r="BL174">
        <f t="shared" si="201"/>
        <v>30.066213512822753</v>
      </c>
      <c r="BM174" s="43">
        <f t="shared" si="202"/>
        <v>43.037234322003528</v>
      </c>
    </row>
    <row r="175" spans="14:65" x14ac:dyDescent="0.25">
      <c r="N175" s="9">
        <v>57</v>
      </c>
      <c r="O175" s="34">
        <f t="shared" si="154"/>
        <v>371.53522909717265</v>
      </c>
      <c r="P175" s="33" t="str">
        <f t="shared" si="155"/>
        <v>54,631621870174</v>
      </c>
      <c r="Q175" s="4" t="str">
        <f t="shared" si="156"/>
        <v>1+10,4206387537401i</v>
      </c>
      <c r="R175" s="4">
        <f t="shared" si="168"/>
        <v>10.468510497484829</v>
      </c>
      <c r="S175" s="4">
        <f t="shared" si="169"/>
        <v>1.4751258774755387</v>
      </c>
      <c r="T175" s="4" t="str">
        <f t="shared" si="157"/>
        <v>1+0,035296501351552i</v>
      </c>
      <c r="U175" s="4">
        <f t="shared" si="170"/>
        <v>1.0006227276089925</v>
      </c>
      <c r="V175" s="4">
        <f t="shared" si="171"/>
        <v>3.5281854332258132E-2</v>
      </c>
      <c r="W175" t="str">
        <f t="shared" si="158"/>
        <v>1-0,00928946685511623i</v>
      </c>
      <c r="X175" s="4">
        <f t="shared" si="172"/>
        <v>1.0000431461664303</v>
      </c>
      <c r="Y175" s="4">
        <f t="shared" si="173"/>
        <v>-9.2891996599308111E-3</v>
      </c>
      <c r="Z175" t="str">
        <f t="shared" si="159"/>
        <v>0,999999447846294+0,00127629761228909i</v>
      </c>
      <c r="AA175" s="4">
        <f t="shared" si="174"/>
        <v>1.0000002623142097</v>
      </c>
      <c r="AB175" s="4">
        <f t="shared" si="175"/>
        <v>1.2762976239992614E-3</v>
      </c>
      <c r="AC175" s="47" t="str">
        <f t="shared" si="176"/>
        <v>0,627158823802655-5,18433963357379i</v>
      </c>
      <c r="AD175" s="20">
        <f t="shared" si="177"/>
        <v>14.356963754091087</v>
      </c>
      <c r="AE175" s="43">
        <f t="shared" si="178"/>
        <v>-83.102344086072932</v>
      </c>
      <c r="AF175" t="str">
        <f t="shared" si="160"/>
        <v>171,265703090588</v>
      </c>
      <c r="AG175" t="str">
        <f t="shared" si="161"/>
        <v>1+10,3209130591681i</v>
      </c>
      <c r="AH175">
        <f t="shared" si="179"/>
        <v>10.369245217223222</v>
      </c>
      <c r="AI175">
        <f t="shared" si="180"/>
        <v>1.4742071745634986</v>
      </c>
      <c r="AJ175" t="str">
        <f t="shared" si="162"/>
        <v>1+0,035296501351552i</v>
      </c>
      <c r="AK175">
        <f t="shared" si="181"/>
        <v>1.0006227276089925</v>
      </c>
      <c r="AL175">
        <f t="shared" si="182"/>
        <v>3.5281854332258132E-2</v>
      </c>
      <c r="AM175" t="str">
        <f t="shared" si="163"/>
        <v>1-0,00293486348662998i</v>
      </c>
      <c r="AN175">
        <f t="shared" si="183"/>
        <v>1.0000043067025688</v>
      </c>
      <c r="AO175">
        <f t="shared" si="184"/>
        <v>-2.9348550602659716E-3</v>
      </c>
      <c r="AP175" s="41" t="str">
        <f t="shared" si="185"/>
        <v>2,12503556130769-16,3898686137983i</v>
      </c>
      <c r="AQ175">
        <f t="shared" si="186"/>
        <v>24.363909802701521</v>
      </c>
      <c r="AR175" s="43">
        <f t="shared" si="187"/>
        <v>-82.612502692196372</v>
      </c>
      <c r="AS175" t="str">
        <f t="shared" si="164"/>
        <v>-0,0000166666666666667</v>
      </c>
      <c r="AT175" t="str">
        <f t="shared" si="165"/>
        <v>3,57867305369901E-06i</v>
      </c>
      <c r="AU175">
        <f t="shared" si="188"/>
        <v>3.5786730536990098E-6</v>
      </c>
      <c r="AV175">
        <f t="shared" si="189"/>
        <v>1.5707963267948966</v>
      </c>
      <c r="AW175" t="str">
        <f t="shared" si="166"/>
        <v>1+0,0165830951741752i</v>
      </c>
      <c r="AX175">
        <f t="shared" si="190"/>
        <v>1.000137490071018</v>
      </c>
      <c r="AY175">
        <f t="shared" si="191"/>
        <v>1.6581575313161765E-2</v>
      </c>
      <c r="AZ175" t="str">
        <f t="shared" si="167"/>
        <v>1+0,770360148545777i</v>
      </c>
      <c r="BA175">
        <f t="shared" si="192"/>
        <v>1.2623211788081001</v>
      </c>
      <c r="BB175">
        <f t="shared" si="193"/>
        <v>0.65640477477515113</v>
      </c>
      <c r="BC175" s="41" t="str">
        <f t="shared" si="194"/>
        <v>-3,50954022660614+4,71541874549718i</v>
      </c>
      <c r="BD175">
        <f t="shared" si="195"/>
        <v>15.384737761092426</v>
      </c>
      <c r="BE175" s="43">
        <f t="shared" si="196"/>
        <v>126.65916896372902</v>
      </c>
      <c r="BF175" s="41" t="str">
        <f t="shared" si="197"/>
        <v>22,2452931705714+21,1519649665788i</v>
      </c>
      <c r="BG175" s="20">
        <f t="shared" si="198"/>
        <v>29.741701515183514</v>
      </c>
      <c r="BH175" s="43">
        <f t="shared" si="199"/>
        <v>43.55682487765619</v>
      </c>
      <c r="BI175" s="41" t="str">
        <f t="shared" si="152"/>
        <v>69,8271959123625+67,541335729553i</v>
      </c>
      <c r="BJ175" s="20">
        <f t="shared" si="200"/>
        <v>39.748647563793952</v>
      </c>
      <c r="BK175" s="43">
        <f t="shared" si="153"/>
        <v>44.046666271532665</v>
      </c>
      <c r="BL175">
        <f t="shared" si="201"/>
        <v>29.741701515183514</v>
      </c>
      <c r="BM175" s="43">
        <f t="shared" si="202"/>
        <v>43.55682487765619</v>
      </c>
    </row>
    <row r="176" spans="14:65" x14ac:dyDescent="0.25">
      <c r="N176" s="9">
        <v>58</v>
      </c>
      <c r="O176" s="34">
        <f t="shared" si="154"/>
        <v>380.18939632056163</v>
      </c>
      <c r="P176" s="33" t="str">
        <f t="shared" si="155"/>
        <v>54,631621870174</v>
      </c>
      <c r="Q176" s="4" t="str">
        <f t="shared" si="156"/>
        <v>1+10,6633666117915i</v>
      </c>
      <c r="R176" s="4">
        <f t="shared" si="168"/>
        <v>10.710153476840084</v>
      </c>
      <c r="S176" s="4">
        <f t="shared" si="169"/>
        <v>1.4772907851277408</v>
      </c>
      <c r="T176" s="4" t="str">
        <f t="shared" si="157"/>
        <v>1+0,0361186624850713i</v>
      </c>
      <c r="U176" s="4">
        <f t="shared" si="170"/>
        <v>1.000652066294629</v>
      </c>
      <c r="V176" s="4">
        <f t="shared" si="171"/>
        <v>3.6102968473442132E-2</v>
      </c>
      <c r="W176" t="str">
        <f t="shared" si="158"/>
        <v>1-0,00950584633486476i</v>
      </c>
      <c r="X176" s="4">
        <f t="shared" si="172"/>
        <v>1.0000451795366758</v>
      </c>
      <c r="Y176" s="4">
        <f t="shared" si="173"/>
        <v>-9.5055600307638929E-3</v>
      </c>
      <c r="Z176" t="str">
        <f t="shared" si="159"/>
        <v>0,999999421824092+0,00130602640272009i</v>
      </c>
      <c r="AA176" s="4">
        <f t="shared" si="174"/>
        <v>1.0000002746767036</v>
      </c>
      <c r="AB176" s="4">
        <f t="shared" si="175"/>
        <v>1.3060264152677601E-3</v>
      </c>
      <c r="AC176" s="47" t="str">
        <f t="shared" si="176"/>
        <v>0,604970501732804-5,06849737848493i</v>
      </c>
      <c r="AD176" s="20">
        <f t="shared" si="177"/>
        <v>14.159019948783564</v>
      </c>
      <c r="AE176" s="43">
        <f t="shared" si="178"/>
        <v>-83.19343765316367</v>
      </c>
      <c r="AF176" t="str">
        <f t="shared" si="160"/>
        <v>171,265703090588</v>
      </c>
      <c r="AG176" t="str">
        <f t="shared" si="161"/>
        <v>1+10,5613180073856i</v>
      </c>
      <c r="AH176">
        <f t="shared" si="179"/>
        <v>10.608554946510262</v>
      </c>
      <c r="AI176">
        <f t="shared" si="180"/>
        <v>1.4763926220378671</v>
      </c>
      <c r="AJ176" t="str">
        <f t="shared" si="162"/>
        <v>1+0,0361186624850713i</v>
      </c>
      <c r="AK176">
        <f t="shared" si="181"/>
        <v>1.000652066294629</v>
      </c>
      <c r="AL176">
        <f t="shared" si="182"/>
        <v>3.6102968473442132E-2</v>
      </c>
      <c r="AM176" t="str">
        <f t="shared" si="163"/>
        <v>1-0,00300322523916911i</v>
      </c>
      <c r="AN176">
        <f t="shared" si="183"/>
        <v>1.0000045096707499</v>
      </c>
      <c r="AO176">
        <f t="shared" si="184"/>
        <v>-3.0032162101596011E-3</v>
      </c>
      <c r="AP176" s="41" t="str">
        <f t="shared" si="185"/>
        <v>2,05420517016544-16,0235754114612i</v>
      </c>
      <c r="AQ176">
        <f t="shared" si="186"/>
        <v>24.165984533627991</v>
      </c>
      <c r="AR176" s="43">
        <f t="shared" si="187"/>
        <v>-82.694590039408439</v>
      </c>
      <c r="AS176" t="str">
        <f t="shared" si="164"/>
        <v>-0,0000166666666666667</v>
      </c>
      <c r="AT176" t="str">
        <f t="shared" si="165"/>
        <v>3,66203105751417E-06i</v>
      </c>
      <c r="AU176">
        <f t="shared" si="188"/>
        <v>3.6620310575141699E-6</v>
      </c>
      <c r="AV176">
        <f t="shared" si="189"/>
        <v>1.5707963267948966</v>
      </c>
      <c r="AW176" t="str">
        <f t="shared" si="166"/>
        <v>1+0,0169693650820583i</v>
      </c>
      <c r="AX176">
        <f t="shared" si="190"/>
        <v>1.0001439693120626</v>
      </c>
      <c r="AY176">
        <f t="shared" si="191"/>
        <v>1.696773653430211E-2</v>
      </c>
      <c r="AZ176" t="str">
        <f t="shared" si="167"/>
        <v>1+0,788304141539254i</v>
      </c>
      <c r="BA176">
        <f t="shared" si="192"/>
        <v>1.2733512553761197</v>
      </c>
      <c r="BB176">
        <f t="shared" si="193"/>
        <v>0.66756852272130485</v>
      </c>
      <c r="BC176" s="41" t="str">
        <f t="shared" si="194"/>
        <v>-3,50949475498579+4,61076234052701i</v>
      </c>
      <c r="BD176">
        <f t="shared" si="195"/>
        <v>15.260248532561986</v>
      </c>
      <c r="BE176" s="43">
        <f t="shared" si="196"/>
        <v>127.27667919640845</v>
      </c>
      <c r="BF176" s="41" t="str">
        <f t="shared" si="197"/>
        <v>21,2464960330258+20,5772401719714i</v>
      </c>
      <c r="BG176" s="20">
        <f t="shared" si="198"/>
        <v>29.419268481345547</v>
      </c>
      <c r="BH176" s="43">
        <f t="shared" si="199"/>
        <v>44.083241543244739</v>
      </c>
      <c r="BI176" s="41" t="str">
        <f t="shared" si="152"/>
        <v>66,6716757973996+65,706105700957i</v>
      </c>
      <c r="BJ176" s="20">
        <f t="shared" si="200"/>
        <v>39.426233066189972</v>
      </c>
      <c r="BK176" s="43">
        <f t="shared" si="153"/>
        <v>44.582089156999984</v>
      </c>
      <c r="BL176">
        <f t="shared" si="201"/>
        <v>29.419268481345547</v>
      </c>
      <c r="BM176" s="43">
        <f t="shared" si="202"/>
        <v>44.083241543244739</v>
      </c>
    </row>
    <row r="177" spans="14:65" x14ac:dyDescent="0.25">
      <c r="N177" s="9">
        <v>59</v>
      </c>
      <c r="O177" s="34">
        <f t="shared" si="154"/>
        <v>389.04514499428063</v>
      </c>
      <c r="P177" s="33" t="str">
        <f t="shared" si="155"/>
        <v>54,631621870174</v>
      </c>
      <c r="Q177" s="4" t="str">
        <f t="shared" si="156"/>
        <v>1+10,9117483279668i</v>
      </c>
      <c r="R177" s="4">
        <f t="shared" si="168"/>
        <v>10.95747468958456</v>
      </c>
      <c r="S177" s="4">
        <f t="shared" si="169"/>
        <v>1.479407263218991</v>
      </c>
      <c r="T177" s="4" t="str">
        <f t="shared" si="157"/>
        <v>1+0,0369599742115272i</v>
      </c>
      <c r="U177" s="4">
        <f t="shared" si="170"/>
        <v>1.0006827867479868</v>
      </c>
      <c r="V177" s="4">
        <f t="shared" si="171"/>
        <v>3.6943158394737004E-2</v>
      </c>
      <c r="W177" t="str">
        <f t="shared" si="158"/>
        <v>1-0,00972726594016481i</v>
      </c>
      <c r="X177" s="4">
        <f t="shared" si="172"/>
        <v>1.0000473087322772</v>
      </c>
      <c r="Y177" s="4">
        <f t="shared" si="173"/>
        <v>-9.7269591605773711E-3</v>
      </c>
      <c r="Z177" t="str">
        <f t="shared" si="159"/>
        <v>0,999999394575501+0,00133644766563711i</v>
      </c>
      <c r="AA177" s="4">
        <f t="shared" si="174"/>
        <v>1.0000002876218244</v>
      </c>
      <c r="AB177" s="4">
        <f t="shared" si="175"/>
        <v>1.3364476790821761E-3</v>
      </c>
      <c r="AC177" s="47" t="str">
        <f t="shared" si="176"/>
        <v>0,583763781808488-4,95515671670292i</v>
      </c>
      <c r="AD177" s="20">
        <f t="shared" si="177"/>
        <v>13.961009349335132</v>
      </c>
      <c r="AE177" s="43">
        <f t="shared" si="178"/>
        <v>-83.280991824494791</v>
      </c>
      <c r="AF177" t="str">
        <f t="shared" si="160"/>
        <v>171,265703090588</v>
      </c>
      <c r="AG177" t="str">
        <f t="shared" si="161"/>
        <v>1+10,8073227062063i</v>
      </c>
      <c r="AH177">
        <f t="shared" si="179"/>
        <v>10.8534890277773</v>
      </c>
      <c r="AI177">
        <f t="shared" si="180"/>
        <v>1.4785291969825995</v>
      </c>
      <c r="AJ177" t="str">
        <f t="shared" si="162"/>
        <v>1+0,0369599742115272i</v>
      </c>
      <c r="AK177">
        <f t="shared" si="181"/>
        <v>1.0006827867479868</v>
      </c>
      <c r="AL177">
        <f t="shared" si="182"/>
        <v>3.6943158394737004E-2</v>
      </c>
      <c r="AM177" t="str">
        <f t="shared" si="163"/>
        <v>1-0,00307317934148245i</v>
      </c>
      <c r="AN177">
        <f t="shared" si="183"/>
        <v>1.0000047222044828</v>
      </c>
      <c r="AO177">
        <f t="shared" si="184"/>
        <v>-3.0731696667269217E-3</v>
      </c>
      <c r="AP177" s="41" t="str">
        <f t="shared" si="185"/>
        <v>1,98650727172039-15,665179394803i</v>
      </c>
      <c r="AQ177">
        <f t="shared" si="186"/>
        <v>23.96799020794235</v>
      </c>
      <c r="AR177" s="43">
        <f t="shared" si="187"/>
        <v>-82.772875467699066</v>
      </c>
      <c r="AS177" t="str">
        <f t="shared" si="164"/>
        <v>-0,0000166666666666667</v>
      </c>
      <c r="AT177" t="str">
        <f t="shared" si="165"/>
        <v>3,74733071866873E-06i</v>
      </c>
      <c r="AU177">
        <f t="shared" si="188"/>
        <v>3.7473307186687299E-6</v>
      </c>
      <c r="AV177">
        <f t="shared" si="189"/>
        <v>1.5707963267948966</v>
      </c>
      <c r="AW177" t="str">
        <f t="shared" si="166"/>
        <v>1+0,017364632371924i</v>
      </c>
      <c r="AX177">
        <f t="shared" si="190"/>
        <v>1.000150753865342</v>
      </c>
      <c r="AY177">
        <f t="shared" si="191"/>
        <v>1.7362887365769325E-2</v>
      </c>
      <c r="AZ177" t="str">
        <f t="shared" si="167"/>
        <v>1+0,806666103823015i</v>
      </c>
      <c r="BA177">
        <f t="shared" si="192"/>
        <v>1.284799674290511</v>
      </c>
      <c r="BB177">
        <f t="shared" si="193"/>
        <v>0.67879244293667629</v>
      </c>
      <c r="BC177" s="41" t="str">
        <f t="shared" si="194"/>
        <v>-3,50944714161691+4,50855055005199i</v>
      </c>
      <c r="BD177">
        <f t="shared" si="195"/>
        <v>15.137933552064482</v>
      </c>
      <c r="BE177" s="43">
        <f t="shared" si="196"/>
        <v>127.8971219794267</v>
      </c>
      <c r="BF177" s="41" t="str">
        <f t="shared" si="197"/>
        <v>20,2918864052375+20,02178909527i</v>
      </c>
      <c r="BG177" s="20">
        <f t="shared" si="198"/>
        <v>29.098942901399617</v>
      </c>
      <c r="BH177" s="43">
        <f t="shared" si="199"/>
        <v>44.616130154931916</v>
      </c>
      <c r="BI177" s="41" t="str">
        <f t="shared" si="152"/>
        <v>63,6557109105618+63,9323875026047i</v>
      </c>
      <c r="BJ177" s="20">
        <f t="shared" si="200"/>
        <v>39.105923760006824</v>
      </c>
      <c r="BK177" s="43">
        <f t="shared" si="153"/>
        <v>45.124246511727641</v>
      </c>
      <c r="BL177">
        <f t="shared" si="201"/>
        <v>29.098942901399617</v>
      </c>
      <c r="BM177" s="43">
        <f t="shared" si="202"/>
        <v>44.616130154931916</v>
      </c>
    </row>
    <row r="178" spans="14:65" x14ac:dyDescent="0.25">
      <c r="N178" s="9">
        <v>60</v>
      </c>
      <c r="O178" s="34">
        <f t="shared" si="154"/>
        <v>398.10717055349761</v>
      </c>
      <c r="P178" s="33" t="str">
        <f t="shared" si="155"/>
        <v>54,631621870174</v>
      </c>
      <c r="Q178" s="4" t="str">
        <f t="shared" si="156"/>
        <v>1+11,1659155975396i</v>
      </c>
      <c r="R178" s="4">
        <f t="shared" si="168"/>
        <v>11.210605297278917</v>
      </c>
      <c r="S178" s="4">
        <f t="shared" si="169"/>
        <v>1.4814763580463524</v>
      </c>
      <c r="T178" s="4" t="str">
        <f t="shared" si="157"/>
        <v>1+0,0378208826055331i</v>
      </c>
      <c r="U178" s="4">
        <f t="shared" si="170"/>
        <v>1.000714954000919</v>
      </c>
      <c r="V178" s="4">
        <f t="shared" si="171"/>
        <v>3.7802864828402102E-2</v>
      </c>
      <c r="W178" t="str">
        <f t="shared" si="158"/>
        <v>1-0,00995384307062189i</v>
      </c>
      <c r="X178" s="4">
        <f t="shared" si="172"/>
        <v>1.0000495382689172</v>
      </c>
      <c r="Y178" s="4">
        <f t="shared" si="173"/>
        <v>-9.9535143512509416E-3</v>
      </c>
      <c r="Z178" t="str">
        <f t="shared" si="159"/>
        <v>0,999999366042723+0,00136757753079642i</v>
      </c>
      <c r="AA178" s="4">
        <f t="shared" si="174"/>
        <v>1.00000030117703</v>
      </c>
      <c r="AB178" s="4">
        <f t="shared" si="175"/>
        <v>1.3675775452030635E-3</v>
      </c>
      <c r="AC178" s="47" t="str">
        <f t="shared" si="176"/>
        <v>0,563495964036833-4,84426974986485i</v>
      </c>
      <c r="AD178" s="20">
        <f t="shared" si="177"/>
        <v>13.762936081280477</v>
      </c>
      <c r="AE178" s="43">
        <f t="shared" si="178"/>
        <v>-83.365048941443575</v>
      </c>
      <c r="AF178" t="str">
        <f t="shared" si="160"/>
        <v>171,265703090588</v>
      </c>
      <c r="AG178" t="str">
        <f t="shared" si="161"/>
        <v>1+11,0590575905775i</v>
      </c>
      <c r="AH178">
        <f t="shared" si="179"/>
        <v>11.104177357720374</v>
      </c>
      <c r="AI178">
        <f t="shared" si="180"/>
        <v>1.4806179541680615</v>
      </c>
      <c r="AJ178" t="str">
        <f t="shared" si="162"/>
        <v>1+0,0378208826055331i</v>
      </c>
      <c r="AK178">
        <f t="shared" si="181"/>
        <v>1.000714954000919</v>
      </c>
      <c r="AL178">
        <f t="shared" si="182"/>
        <v>3.7802864828402102E-2</v>
      </c>
      <c r="AM178" t="str">
        <f t="shared" si="163"/>
        <v>1-0,00314476288416096i</v>
      </c>
      <c r="AN178">
        <f t="shared" si="183"/>
        <v>1.0000049447545736</v>
      </c>
      <c r="AO178">
        <f t="shared" si="184"/>
        <v>-3.1447525174764066E-3</v>
      </c>
      <c r="AP178" s="41" t="str">
        <f t="shared" si="185"/>
        <v>1,92180569447144-15,3145298285252i</v>
      </c>
      <c r="AQ178">
        <f t="shared" si="186"/>
        <v>23.769930982144064</v>
      </c>
      <c r="AR178" s="43">
        <f t="shared" si="187"/>
        <v>-82.847396283817815</v>
      </c>
      <c r="AS178" t="str">
        <f t="shared" si="164"/>
        <v>-0,0000166666666666667</v>
      </c>
      <c r="AT178" t="str">
        <f t="shared" si="165"/>
        <v>3,83461726417211E-06i</v>
      </c>
      <c r="AU178">
        <f t="shared" si="188"/>
        <v>3.8346172641721099E-6</v>
      </c>
      <c r="AV178">
        <f t="shared" si="189"/>
        <v>1.5707963267948966</v>
      </c>
      <c r="AW178" t="str">
        <f t="shared" si="166"/>
        <v>1+0,0177691066197213i</v>
      </c>
      <c r="AX178">
        <f t="shared" si="190"/>
        <v>1.0001578581154391</v>
      </c>
      <c r="AY178">
        <f t="shared" si="191"/>
        <v>1.7767236827877422E-2</v>
      </c>
      <c r="AZ178" t="str">
        <f t="shared" si="167"/>
        <v>1+0,825455771152508i</v>
      </c>
      <c r="BA178">
        <f t="shared" si="192"/>
        <v>1.2966793088998458</v>
      </c>
      <c r="BB178">
        <f t="shared" si="193"/>
        <v>0.69007117552907027</v>
      </c>
      <c r="BC178" s="41" t="str">
        <f t="shared" si="194"/>
        <v>-3,50939728568377+4,40872917482959i</v>
      </c>
      <c r="BD178">
        <f t="shared" si="195"/>
        <v>15.017815115464114</v>
      </c>
      <c r="BE178" s="43">
        <f t="shared" si="196"/>
        <v>128.52017823760036</v>
      </c>
      <c r="BF178" s="41" t="str">
        <f t="shared" si="197"/>
        <v>19,379542170289+19,4847682078436i</v>
      </c>
      <c r="BG178" s="20">
        <f t="shared" si="198"/>
        <v>28.780751196744593</v>
      </c>
      <c r="BH178" s="43">
        <f t="shared" si="199"/>
        <v>45.155129296156773</v>
      </c>
      <c r="BI178" s="41" t="str">
        <f t="shared" ref="BI178:BI241" si="203">IMPRODUCT(AP178,BC178)</f>
        <v>60,7732347660274+62,2174902453193i</v>
      </c>
      <c r="BJ178" s="20">
        <f t="shared" si="200"/>
        <v>38.787746097608171</v>
      </c>
      <c r="BK178" s="43">
        <f t="shared" ref="BK178:BK241" si="204">(180/PI())*IMARGUMENT(BI178)</f>
        <v>45.672781953782533</v>
      </c>
      <c r="BL178">
        <f t="shared" si="201"/>
        <v>28.780751196744593</v>
      </c>
      <c r="BM178" s="43">
        <f t="shared" si="202"/>
        <v>45.155129296156773</v>
      </c>
    </row>
    <row r="179" spans="14:65" x14ac:dyDescent="0.25">
      <c r="N179" s="9">
        <v>61</v>
      </c>
      <c r="O179" s="34">
        <f t="shared" si="154"/>
        <v>407.38027780411272</v>
      </c>
      <c r="P179" s="33" t="str">
        <f t="shared" si="155"/>
        <v>54,631621870174</v>
      </c>
      <c r="Q179" s="4" t="str">
        <f t="shared" si="156"/>
        <v>1+11,4260031833607i</v>
      </c>
      <c r="R179" s="4">
        <f t="shared" si="168"/>
        <v>11.469679539820145</v>
      </c>
      <c r="S179" s="4">
        <f t="shared" si="169"/>
        <v>1.4834990957671985</v>
      </c>
      <c r="T179" s="4" t="str">
        <f t="shared" si="157"/>
        <v>1+0,0387018441321151i</v>
      </c>
      <c r="U179" s="4">
        <f t="shared" si="170"/>
        <v>1.0007486361415769</v>
      </c>
      <c r="V179" s="4">
        <f t="shared" si="171"/>
        <v>3.8682538516027848E-2</v>
      </c>
      <c r="W179" t="str">
        <f t="shared" si="158"/>
        <v>1-0,0101856978604297i</v>
      </c>
      <c r="X179" s="4">
        <f t="shared" si="172"/>
        <v>1.0000518728750543</v>
      </c>
      <c r="Y179" s="4">
        <f t="shared" si="173"/>
        <v>-1.0185345632264468E-2</v>
      </c>
      <c r="Z179" t="str">
        <f t="shared" si="159"/>
        <v>0,999999336165237+0,0013994325036646i</v>
      </c>
      <c r="AA179" s="4">
        <f t="shared" si="174"/>
        <v>1.0000003153710737</v>
      </c>
      <c r="AB179" s="4">
        <f t="shared" si="175"/>
        <v>1.3994325191015906E-3</v>
      </c>
      <c r="AC179" s="47" t="str">
        <f t="shared" si="176"/>
        <v>0,544126142344594-4,73578908848271i</v>
      </c>
      <c r="AD179" s="20">
        <f t="shared" si="177"/>
        <v>13.564804145013365</v>
      </c>
      <c r="AE179" s="43">
        <f t="shared" si="178"/>
        <v>-83.445649795782387</v>
      </c>
      <c r="AF179" t="str">
        <f t="shared" si="160"/>
        <v>171,265703090588</v>
      </c>
      <c r="AG179" t="str">
        <f t="shared" si="161"/>
        <v>1+11,3166561336673i</v>
      </c>
      <c r="AH179">
        <f t="shared" si="179"/>
        <v>11.360752882079151</v>
      </c>
      <c r="AI179">
        <f t="shared" si="180"/>
        <v>1.4826599281362509</v>
      </c>
      <c r="AJ179" t="str">
        <f t="shared" si="162"/>
        <v>1+0,0387018441321151i</v>
      </c>
      <c r="AK179">
        <f t="shared" si="181"/>
        <v>1.0007486361415769</v>
      </c>
      <c r="AL179">
        <f t="shared" si="182"/>
        <v>3.8682538516027848E-2</v>
      </c>
      <c r="AM179" t="str">
        <f t="shared" si="163"/>
        <v>1-0,00321801382174653i</v>
      </c>
      <c r="AN179">
        <f t="shared" si="183"/>
        <v>1.0000051777930736</v>
      </c>
      <c r="AO179">
        <f t="shared" si="184"/>
        <v>-3.2180027136470058E-3</v>
      </c>
      <c r="AP179" s="41" t="str">
        <f t="shared" si="185"/>
        <v>1,85996997982467-14,9714775341675i</v>
      </c>
      <c r="AQ179">
        <f t="shared" si="186"/>
        <v>23.571810883168482</v>
      </c>
      <c r="AR179" s="43">
        <f t="shared" si="187"/>
        <v>-82.918188111510077</v>
      </c>
      <c r="AS179" t="str">
        <f t="shared" si="164"/>
        <v>-0,0000166666666666667</v>
      </c>
      <c r="AT179" t="str">
        <f t="shared" si="165"/>
        <v>3,92393697450612E-06i</v>
      </c>
      <c r="AU179">
        <f t="shared" si="188"/>
        <v>3.9239369745061203E-6</v>
      </c>
      <c r="AV179">
        <f t="shared" si="189"/>
        <v>1.5707963267948966</v>
      </c>
      <c r="AW179" t="str">
        <f t="shared" si="166"/>
        <v>1+0,0181830022830504i</v>
      </c>
      <c r="AX179">
        <f t="shared" si="190"/>
        <v>1.000165297124443</v>
      </c>
      <c r="AY179">
        <f t="shared" si="191"/>
        <v>1.8180998782875955E-2</v>
      </c>
      <c r="AZ179" t="str">
        <f t="shared" si="167"/>
        <v>1+0,844683106058068i</v>
      </c>
      <c r="BA179">
        <f t="shared" si="192"/>
        <v>1.3090032657178152</v>
      </c>
      <c r="BB179">
        <f t="shared" si="193"/>
        <v>0.70139922321635129</v>
      </c>
      <c r="BC179" s="41" t="str">
        <f t="shared" si="194"/>
        <v>-3,50934508163111+4,31124528267566i</v>
      </c>
      <c r="BD179">
        <f t="shared" si="195"/>
        <v>14.899913494855623</v>
      </c>
      <c r="BE179" s="43">
        <f t="shared" si="196"/>
        <v>129.14552074645997</v>
      </c>
      <c r="BF179" s="41" t="str">
        <f t="shared" si="197"/>
        <v>18,507621966044+18,9653794096727i</v>
      </c>
      <c r="BG179" s="20">
        <f t="shared" si="198"/>
        <v>28.464717639868976</v>
      </c>
      <c r="BH179" s="43">
        <f t="shared" si="199"/>
        <v>45.699870950677635</v>
      </c>
      <c r="BI179" s="41" t="str">
        <f t="shared" si="203"/>
        <v>58,018435393185+60,5588678507188i</v>
      </c>
      <c r="BJ179" s="20">
        <f t="shared" si="200"/>
        <v>38.471724378024099</v>
      </c>
      <c r="BK179" s="43">
        <f t="shared" si="204"/>
        <v>46.227332634949896</v>
      </c>
      <c r="BL179">
        <f t="shared" si="201"/>
        <v>28.464717639868976</v>
      </c>
      <c r="BM179" s="43">
        <f t="shared" si="202"/>
        <v>45.699870950677635</v>
      </c>
    </row>
    <row r="180" spans="14:65" x14ac:dyDescent="0.25">
      <c r="N180" s="9">
        <v>62</v>
      </c>
      <c r="O180" s="34">
        <f t="shared" si="154"/>
        <v>416.86938347033572</v>
      </c>
      <c r="P180" s="33" t="str">
        <f t="shared" si="155"/>
        <v>54,631621870174</v>
      </c>
      <c r="Q180" s="4" t="str">
        <f t="shared" si="156"/>
        <v>1+11,6921489873106i</v>
      </c>
      <c r="R180" s="4">
        <f t="shared" si="168"/>
        <v>11.734834806739647</v>
      </c>
      <c r="S180" s="4">
        <f t="shared" si="169"/>
        <v>1.48547648261943</v>
      </c>
      <c r="T180" s="4" t="str">
        <f t="shared" si="157"/>
        <v>1+0,0396033258887355i</v>
      </c>
      <c r="U180" s="4">
        <f t="shared" si="170"/>
        <v>1.0007839044576254</v>
      </c>
      <c r="V180" s="4">
        <f t="shared" si="171"/>
        <v>3.9582640423426255E-2</v>
      </c>
      <c r="W180" t="str">
        <f t="shared" si="158"/>
        <v>1-0,0104229532420668i</v>
      </c>
      <c r="X180" s="4">
        <f t="shared" si="172"/>
        <v>1.0000543175019476</v>
      </c>
      <c r="Y180" s="4">
        <f t="shared" si="173"/>
        <v>-1.0422575823895044E-2</v>
      </c>
      <c r="Z180" t="str">
        <f t="shared" si="159"/>
        <v>0,999999304879668+0,0014320294741699i</v>
      </c>
      <c r="AA180" s="4">
        <f t="shared" si="174"/>
        <v>1.0000003302340625</v>
      </c>
      <c r="AB180" s="4">
        <f t="shared" si="175"/>
        <v>1.4320294907109274E-3</v>
      </c>
      <c r="AC180" s="47" t="str">
        <f t="shared" si="176"/>
        <v>0,525615134791502-4,6296678773416i</v>
      </c>
      <c r="AD180" s="20">
        <f t="shared" si="177"/>
        <v>13.366617423558548</v>
      </c>
      <c r="AE180" s="43">
        <f t="shared" si="178"/>
        <v>-83.522833634105965</v>
      </c>
      <c r="AF180" t="str">
        <f t="shared" si="160"/>
        <v>171,265703090588</v>
      </c>
      <c r="AG180" t="str">
        <f t="shared" si="161"/>
        <v>1+11,5802549176328i</v>
      </c>
      <c r="AH180">
        <f t="shared" si="179"/>
        <v>11.623351666251807</v>
      </c>
      <c r="AI180">
        <f t="shared" si="180"/>
        <v>1.4846561334164232</v>
      </c>
      <c r="AJ180" t="str">
        <f t="shared" si="162"/>
        <v>1+0,0396033258887355i</v>
      </c>
      <c r="AK180">
        <f t="shared" si="181"/>
        <v>1.0007839044576254</v>
      </c>
      <c r="AL180">
        <f t="shared" si="182"/>
        <v>3.9582640423426255E-2</v>
      </c>
      <c r="AM180" t="str">
        <f t="shared" si="163"/>
        <v>1-0,00329297099285584i</v>
      </c>
      <c r="AN180">
        <f t="shared" si="183"/>
        <v>1.0000054218142818</v>
      </c>
      <c r="AO180">
        <f t="shared" si="184"/>
        <v>-3.2929590903162408E-3</v>
      </c>
      <c r="AP180" s="41" t="str">
        <f t="shared" si="185"/>
        <v>1,80087516057178-14,6358749735425i</v>
      </c>
      <c r="AQ180">
        <f t="shared" si="186"/>
        <v>23.373633816187848</v>
      </c>
      <c r="AR180" s="43">
        <f t="shared" si="187"/>
        <v>-82.985284892710823</v>
      </c>
      <c r="AS180" t="str">
        <f t="shared" si="164"/>
        <v>-0,0000166666666666667</v>
      </c>
      <c r="AT180" t="str">
        <f t="shared" si="165"/>
        <v>4,01533720816346E-06i</v>
      </c>
      <c r="AU180">
        <f t="shared" si="188"/>
        <v>4.0153372081634602E-6</v>
      </c>
      <c r="AV180">
        <f t="shared" si="189"/>
        <v>1.5707963267948966</v>
      </c>
      <c r="AW180" t="str">
        <f t="shared" si="166"/>
        <v>1+0,0186065388148704i</v>
      </c>
      <c r="AX180">
        <f t="shared" si="190"/>
        <v>1.0001730866638381</v>
      </c>
      <c r="AY180">
        <f t="shared" si="191"/>
        <v>1.8604392045820109E-2</v>
      </c>
      <c r="AZ180" t="str">
        <f t="shared" si="167"/>
        <v>1+0,864358303127164i</v>
      </c>
      <c r="BA180">
        <f t="shared" si="192"/>
        <v>1.3217848827191474</v>
      </c>
      <c r="BB180">
        <f t="shared" si="193"/>
        <v>0.71277096371800819</v>
      </c>
      <c r="BC180" s="41" t="str">
        <f t="shared" si="194"/>
        <v>-3,50929041894187+4,21604718037261i</v>
      </c>
      <c r="BD180">
        <f t="shared" si="195"/>
        <v>14.784246857070755</v>
      </c>
      <c r="BE180" s="43">
        <f t="shared" si="196"/>
        <v>129.77281483588189</v>
      </c>
      <c r="BF180" s="41" t="str">
        <f t="shared" si="197"/>
        <v>17,674362043753+18,4628673318367i</v>
      </c>
      <c r="BG180" s="20">
        <f t="shared" si="198"/>
        <v>28.150864280629296</v>
      </c>
      <c r="BH180" s="43">
        <f t="shared" si="199"/>
        <v>46.249981201775995</v>
      </c>
      <c r="BI180" s="41" t="str">
        <f t="shared" si="203"/>
        <v>55,385745467785+58,9541104604155i</v>
      </c>
      <c r="BJ180" s="20">
        <f t="shared" si="200"/>
        <v>38.15788067325861</v>
      </c>
      <c r="BK180" s="43">
        <f t="shared" si="204"/>
        <v>46.787529943171037</v>
      </c>
      <c r="BL180">
        <f t="shared" si="201"/>
        <v>28.150864280629296</v>
      </c>
      <c r="BM180" s="43">
        <f t="shared" si="202"/>
        <v>46.249981201775995</v>
      </c>
    </row>
    <row r="181" spans="14:65" x14ac:dyDescent="0.25">
      <c r="N181" s="9">
        <v>63</v>
      </c>
      <c r="O181" s="34">
        <f t="shared" si="154"/>
        <v>426.57951880159294</v>
      </c>
      <c r="P181" s="33" t="str">
        <f t="shared" si="155"/>
        <v>54,631621870174</v>
      </c>
      <c r="Q181" s="4" t="str">
        <f t="shared" si="156"/>
        <v>1+11,9644941234174i</v>
      </c>
      <c r="R181" s="4">
        <f t="shared" si="168"/>
        <v>12.006211710164429</v>
      </c>
      <c r="S181" s="4">
        <f t="shared" si="169"/>
        <v>1.4874095051518141</v>
      </c>
      <c r="T181" s="4" t="str">
        <f t="shared" si="157"/>
        <v>1+0,040525805852954i</v>
      </c>
      <c r="U181" s="4">
        <f t="shared" si="170"/>
        <v>1.0008208335861275</v>
      </c>
      <c r="V181" s="4">
        <f t="shared" si="171"/>
        <v>4.0503641959233415E-2</v>
      </c>
      <c r="W181" t="str">
        <f t="shared" si="158"/>
        <v>1-0,010665735011477i</v>
      </c>
      <c r="X181" s="4">
        <f t="shared" si="172"/>
        <v>1.0000568773341518</v>
      </c>
      <c r="Y181" s="4">
        <f t="shared" si="173"/>
        <v>-1.0665330601862038E-2</v>
      </c>
      <c r="Z181" t="str">
        <f t="shared" si="159"/>
        <v>0,999999272119657+0,00146538572565755i</v>
      </c>
      <c r="AA181" s="4">
        <f t="shared" si="174"/>
        <v>1.0000003457975246</v>
      </c>
      <c r="AB181" s="4">
        <f t="shared" si="175"/>
        <v>1.4653857433815714E-3</v>
      </c>
      <c r="AC181" s="47" t="str">
        <f t="shared" si="176"/>
        <v>0,507925415998197-4,52585981805699i</v>
      </c>
      <c r="AD181" s="20">
        <f t="shared" si="177"/>
        <v>13.168379690150596</v>
      </c>
      <c r="AE181" s="43">
        <f t="shared" si="178"/>
        <v>-83.596638162720993</v>
      </c>
      <c r="AF181" t="str">
        <f t="shared" si="160"/>
        <v>171,265703090588</v>
      </c>
      <c r="AG181" t="str">
        <f t="shared" si="161"/>
        <v>1+11,8499937060383i</v>
      </c>
      <c r="AH181">
        <f t="shared" si="179"/>
        <v>11.892112967557418</v>
      </c>
      <c r="AI181">
        <f t="shared" si="180"/>
        <v>1.4866075647513521</v>
      </c>
      <c r="AJ181" t="str">
        <f t="shared" si="162"/>
        <v>1+0,040525805852954i</v>
      </c>
      <c r="AK181">
        <f t="shared" si="181"/>
        <v>1.0008208335861275</v>
      </c>
      <c r="AL181">
        <f t="shared" si="182"/>
        <v>4.0503641959233415E-2</v>
      </c>
      <c r="AM181" t="str">
        <f t="shared" si="163"/>
        <v>1-0,00336967414077318i</v>
      </c>
      <c r="AN181">
        <f t="shared" si="183"/>
        <v>1.0000056773357915</v>
      </c>
      <c r="AO181">
        <f t="shared" si="184"/>
        <v>-3.3696613869761286E-3</v>
      </c>
      <c r="AP181" s="41" t="str">
        <f t="shared" si="185"/>
        <v>1,74440154633058-14,3075763230078i</v>
      </c>
      <c r="AQ181">
        <f t="shared" si="186"/>
        <v>23.175403572213238</v>
      </c>
      <c r="AR181" s="43">
        <f t="shared" si="187"/>
        <v>-83.048718889162615</v>
      </c>
      <c r="AS181" t="str">
        <f t="shared" si="164"/>
        <v>-0,0000166666666666667</v>
      </c>
      <c r="AT181" t="str">
        <f t="shared" si="165"/>
        <v>4,10886642675783E-06i</v>
      </c>
      <c r="AU181">
        <f t="shared" si="188"/>
        <v>4.1088664267578299E-6</v>
      </c>
      <c r="AV181">
        <f t="shared" si="189"/>
        <v>1.5707963267948966</v>
      </c>
      <c r="AW181" t="str">
        <f t="shared" si="166"/>
        <v>1+0,0190399407798568i</v>
      </c>
      <c r="AX181">
        <f t="shared" si="190"/>
        <v>1.0001812432478927</v>
      </c>
      <c r="AY181">
        <f t="shared" si="191"/>
        <v>1.9037640497887948E-2</v>
      </c>
      <c r="AZ181" t="str">
        <f t="shared" si="167"/>
        <v>1+0,88449179440971i</v>
      </c>
      <c r="BA181">
        <f t="shared" si="192"/>
        <v>1.3350377276984005</v>
      </c>
      <c r="BB181">
        <f t="shared" si="193"/>
        <v>0.72418066290296013</v>
      </c>
      <c r="BC181" s="41" t="str">
        <f t="shared" si="194"/>
        <v>-3,50923318190459+4,12308438623258i</v>
      </c>
      <c r="BD181">
        <f t="shared" si="195"/>
        <v>14.670831189551139</v>
      </c>
      <c r="BE181" s="43">
        <f t="shared" si="196"/>
        <v>130.40171913690952</v>
      </c>
      <c r="BF181" s="41" t="str">
        <f t="shared" si="197"/>
        <v>16,8780732263546+17,9765168022471i</v>
      </c>
      <c r="BG181" s="20">
        <f t="shared" si="198"/>
        <v>27.839210879701724</v>
      </c>
      <c r="BH181" s="43">
        <f t="shared" si="199"/>
        <v>46.80508097418857</v>
      </c>
      <c r="BI181" s="41" t="str">
        <f t="shared" si="203"/>
        <v>52,8698327532755+57,400936364327i</v>
      </c>
      <c r="BJ181" s="20">
        <f t="shared" si="200"/>
        <v>37.846234761764379</v>
      </c>
      <c r="BK181" s="43">
        <f t="shared" si="204"/>
        <v>47.353000247746877</v>
      </c>
      <c r="BL181">
        <f t="shared" si="201"/>
        <v>27.839210879701724</v>
      </c>
      <c r="BM181" s="43">
        <f t="shared" si="202"/>
        <v>46.80508097418857</v>
      </c>
    </row>
    <row r="182" spans="14:65" x14ac:dyDescent="0.25">
      <c r="N182" s="9">
        <v>64</v>
      </c>
      <c r="O182" s="34">
        <f t="shared" si="154"/>
        <v>436.51583224016622</v>
      </c>
      <c r="P182" s="33" t="str">
        <f t="shared" si="155"/>
        <v>54,631621870174</v>
      </c>
      <c r="Q182" s="4" t="str">
        <f t="shared" si="156"/>
        <v>1+12,2431829926773i</v>
      </c>
      <c r="R182" s="4">
        <f t="shared" si="168"/>
        <v>12.28395415947905</v>
      </c>
      <c r="S182" s="4">
        <f t="shared" si="169"/>
        <v>1.4892991304632828</v>
      </c>
      <c r="T182" s="4" t="str">
        <f t="shared" si="157"/>
        <v>1+0,0414697731358581i</v>
      </c>
      <c r="U182" s="4">
        <f t="shared" si="170"/>
        <v>1.0008595016704089</v>
      </c>
      <c r="V182" s="4">
        <f t="shared" si="171"/>
        <v>4.1446025197219523E-2</v>
      </c>
      <c r="W182" t="str">
        <f t="shared" si="158"/>
        <v>1-0,0109141718947678i</v>
      </c>
      <c r="X182" s="4">
        <f t="shared" si="172"/>
        <v>1.0000595578005085</v>
      </c>
      <c r="Y182" s="4">
        <f t="shared" si="173"/>
        <v>-1.0913738563451928E-2</v>
      </c>
      <c r="Z182" t="str">
        <f t="shared" si="159"/>
        <v>0,999999237815713+0,00149951894405361i</v>
      </c>
      <c r="AA182" s="4">
        <f t="shared" si="174"/>
        <v>1.0000003620944697</v>
      </c>
      <c r="AB182" s="4">
        <f t="shared" si="175"/>
        <v>1.4995189630452337E-3</v>
      </c>
      <c r="AC182" s="47" t="str">
        <f t="shared" si="176"/>
        <v>0,491021051765997-4,42431918898651i</v>
      </c>
      <c r="AD182" s="20">
        <f t="shared" si="177"/>
        <v>12.970094615632597</v>
      </c>
      <c r="AE182" s="43">
        <f t="shared" si="178"/>
        <v>-83.667099552933252</v>
      </c>
      <c r="AF182" t="str">
        <f t="shared" si="160"/>
        <v>171,265703090588</v>
      </c>
      <c r="AG182" t="str">
        <f t="shared" si="161"/>
        <v>1+12,12601551796i</v>
      </c>
      <c r="AH182">
        <f t="shared" si="179"/>
        <v>12.16717930918283</v>
      </c>
      <c r="AI182">
        <f t="shared" si="180"/>
        <v>1.4885151973330222</v>
      </c>
      <c r="AJ182" t="str">
        <f t="shared" si="162"/>
        <v>1+0,0414697731358581i</v>
      </c>
      <c r="AK182">
        <f t="shared" si="181"/>
        <v>1.0008595016704089</v>
      </c>
      <c r="AL182">
        <f t="shared" si="182"/>
        <v>4.1446025197219523E-2</v>
      </c>
      <c r="AM182" t="str">
        <f t="shared" si="163"/>
        <v>1-0,00344816393452286i</v>
      </c>
      <c r="AN182">
        <f t="shared" si="183"/>
        <v>1.0000059448995888</v>
      </c>
      <c r="AO182">
        <f t="shared" si="184"/>
        <v>-3.4481502685874922E-3</v>
      </c>
      <c r="AP182" s="41" t="str">
        <f t="shared" si="185"/>
        <v>1,69043451588381-13,9864375392001i</v>
      </c>
      <c r="AQ182">
        <f t="shared" si="186"/>
        <v>22.977123835508934</v>
      </c>
      <c r="AR182" s="43">
        <f t="shared" si="187"/>
        <v>-83.108520684388509</v>
      </c>
      <c r="AS182" t="str">
        <f t="shared" si="164"/>
        <v>-0,0000166666666666667</v>
      </c>
      <c r="AT182" t="str">
        <f t="shared" si="165"/>
        <v>4,20457422071895E-06i</v>
      </c>
      <c r="AU182">
        <f t="shared" si="188"/>
        <v>4.2045742207189502E-6</v>
      </c>
      <c r="AV182">
        <f t="shared" si="189"/>
        <v>1.5707963267948966</v>
      </c>
      <c r="AW182" t="str">
        <f t="shared" si="166"/>
        <v>1+0,019483437973468i</v>
      </c>
      <c r="AX182">
        <f t="shared" si="190"/>
        <v>1.0001897841686176</v>
      </c>
      <c r="AY182">
        <f t="shared" si="191"/>
        <v>1.9480973202189635E-2</v>
      </c>
      <c r="AZ182" t="str">
        <f t="shared" si="167"/>
        <v>1+0,905094254949284i</v>
      </c>
      <c r="BA182">
        <f t="shared" si="192"/>
        <v>1.3487755967329034</v>
      </c>
      <c r="BB182">
        <f t="shared" si="193"/>
        <v>0.73562248862412627</v>
      </c>
      <c r="BC182" s="41" t="str">
        <f t="shared" si="194"/>
        <v>-3,50917324936994+4,03230760330093i</v>
      </c>
      <c r="BD182">
        <f t="shared" si="195"/>
        <v>14.559680234207713</v>
      </c>
      <c r="BE182" s="43">
        <f t="shared" si="196"/>
        <v>131.03188636777992</v>
      </c>
      <c r="BF182" s="41" t="str">
        <f t="shared" si="197"/>
        <v>16,1171379654458+17,5056504650824i</v>
      </c>
      <c r="BG182" s="20">
        <f t="shared" si="198"/>
        <v>27.529774849840308</v>
      </c>
      <c r="BH182" s="43">
        <f t="shared" si="199"/>
        <v>47.364786814846624</v>
      </c>
      <c r="BI182" s="41" t="str">
        <f t="shared" si="203"/>
        <v>50,465590849459+55,8971844178251i</v>
      </c>
      <c r="BJ182" s="20">
        <f t="shared" si="200"/>
        <v>37.536804069716638</v>
      </c>
      <c r="BK182" s="43">
        <f t="shared" si="204"/>
        <v>47.923365683391424</v>
      </c>
      <c r="BL182">
        <f t="shared" si="201"/>
        <v>27.529774849840308</v>
      </c>
      <c r="BM182" s="43">
        <f t="shared" si="202"/>
        <v>47.364786814846624</v>
      </c>
    </row>
    <row r="183" spans="14:65" x14ac:dyDescent="0.25">
      <c r="N183" s="9">
        <v>65</v>
      </c>
      <c r="O183" s="34">
        <f t="shared" si="154"/>
        <v>446.68359215096331</v>
      </c>
      <c r="P183" s="33" t="str">
        <f t="shared" si="155"/>
        <v>54,631621870174</v>
      </c>
      <c r="Q183" s="4" t="str">
        <f t="shared" si="156"/>
        <v>1+12,5283633596176i</v>
      </c>
      <c r="R183" s="4">
        <f t="shared" si="168"/>
        <v>12.568209437728543</v>
      </c>
      <c r="S183" s="4">
        <f t="shared" si="169"/>
        <v>1.4911463064501058</v>
      </c>
      <c r="T183" s="4" t="str">
        <f t="shared" si="157"/>
        <v>1+0,0424357282413963i</v>
      </c>
      <c r="U183" s="4">
        <f t="shared" si="170"/>
        <v>1.0008999905242169</v>
      </c>
      <c r="V183" s="4">
        <f t="shared" si="171"/>
        <v>4.2410283102294624E-2</v>
      </c>
      <c r="W183" t="str">
        <f t="shared" si="158"/>
        <v>1-0,0111683956164635i</v>
      </c>
      <c r="X183" s="4">
        <f t="shared" si="172"/>
        <v>1.0000623645856521</v>
      </c>
      <c r="Y183" s="4">
        <f t="shared" si="173"/>
        <v>-1.116793129515682E-2</v>
      </c>
      <c r="Z183" t="str">
        <f t="shared" si="159"/>
        <v>0,999999201895074+0,0015344472272423i</v>
      </c>
      <c r="AA183" s="4">
        <f t="shared" si="174"/>
        <v>1.0000003791594672</v>
      </c>
      <c r="AB183" s="4">
        <f t="shared" si="175"/>
        <v>1.5344472475921824E-3</v>
      </c>
      <c r="AC183" s="47" t="str">
        <f t="shared" si="176"/>
        <v>0,474867635860483-4,32500086267965i</v>
      </c>
      <c r="AD183" s="20">
        <f t="shared" si="177"/>
        <v>12.771765775685715</v>
      </c>
      <c r="AE183" s="43">
        <f t="shared" si="178"/>
        <v>-83.734252446672897</v>
      </c>
      <c r="AF183" t="str">
        <f t="shared" si="160"/>
        <v>171,265703090588</v>
      </c>
      <c r="AG183" t="str">
        <f t="shared" si="161"/>
        <v>1+12,4084667038162i</v>
      </c>
      <c r="AH183">
        <f t="shared" si="179"/>
        <v>12.44869655585336</v>
      </c>
      <c r="AI183">
        <f t="shared" si="180"/>
        <v>1.4903799870466381</v>
      </c>
      <c r="AJ183" t="str">
        <f t="shared" si="162"/>
        <v>1+0,0424357282413963i</v>
      </c>
      <c r="AK183">
        <f t="shared" si="181"/>
        <v>1.0008999905242169</v>
      </c>
      <c r="AL183">
        <f t="shared" si="182"/>
        <v>4.2410283102294624E-2</v>
      </c>
      <c r="AM183" t="str">
        <f t="shared" si="163"/>
        <v>1-0,00352848199043247i</v>
      </c>
      <c r="AN183">
        <f t="shared" si="183"/>
        <v>1.0000062250732027</v>
      </c>
      <c r="AO183">
        <f t="shared" si="184"/>
        <v>-3.5284673471238223E-3</v>
      </c>
      <c r="AP183" s="41" t="str">
        <f t="shared" si="185"/>
        <v>1,63886431633455-13,6723164168198i</v>
      </c>
      <c r="AQ183">
        <f t="shared" si="186"/>
        <v>22.778798190830123</v>
      </c>
      <c r="AR183" s="43">
        <f t="shared" si="187"/>
        <v>-83.164719185958106</v>
      </c>
      <c r="AS183" t="str">
        <f t="shared" si="164"/>
        <v>-0,0000166666666666667</v>
      </c>
      <c r="AT183" t="str">
        <f t="shared" si="165"/>
        <v>4,30251133558601E-06i</v>
      </c>
      <c r="AU183">
        <f t="shared" si="188"/>
        <v>4.3025113355860096E-6</v>
      </c>
      <c r="AV183">
        <f t="shared" si="189"/>
        <v>1.5707963267948966</v>
      </c>
      <c r="AW183" t="str">
        <f t="shared" si="166"/>
        <v>1+0,0199372655437865i</v>
      </c>
      <c r="AX183">
        <f t="shared" si="190"/>
        <v>1.0001987275323656</v>
      </c>
      <c r="AY183">
        <f t="shared" si="191"/>
        <v>1.9934624522118815E-2</v>
      </c>
      <c r="AZ183" t="str">
        <f t="shared" si="167"/>
        <v>1+0,926176608443173i</v>
      </c>
      <c r="BA183">
        <f t="shared" si="192"/>
        <v>1.3630125127919033</v>
      </c>
      <c r="BB183">
        <f t="shared" si="193"/>
        <v>0.74709052516258057</v>
      </c>
      <c r="BC183" s="41" t="str">
        <f t="shared" si="194"/>
        <v>-3,50911049449604+3,94366869318579i</v>
      </c>
      <c r="BD183">
        <f t="shared" si="195"/>
        <v>14.450805429828923</v>
      </c>
      <c r="BE183" s="43">
        <f t="shared" si="196"/>
        <v>131.66296415473269</v>
      </c>
      <c r="BF183" s="41" t="str">
        <f t="shared" si="197"/>
        <v>15,3900074956567+17,0496265448837i</v>
      </c>
      <c r="BG183" s="20">
        <f t="shared" si="198"/>
        <v>27.222571205514626</v>
      </c>
      <c r="BH183" s="43">
        <f t="shared" si="199"/>
        <v>47.928711708059772</v>
      </c>
      <c r="BI183" s="41" t="str">
        <f t="shared" si="203"/>
        <v>48,1681302448377+54,4408069190408i</v>
      </c>
      <c r="BJ183" s="20">
        <f t="shared" si="200"/>
        <v>37.229603620659056</v>
      </c>
      <c r="BK183" s="43">
        <f t="shared" si="204"/>
        <v>48.498244968774607</v>
      </c>
      <c r="BL183">
        <f t="shared" si="201"/>
        <v>27.222571205514626</v>
      </c>
      <c r="BM183" s="43">
        <f t="shared" si="202"/>
        <v>47.928711708059772</v>
      </c>
    </row>
    <row r="184" spans="14:65" x14ac:dyDescent="0.25">
      <c r="N184" s="9">
        <v>66</v>
      </c>
      <c r="O184" s="34">
        <f t="shared" ref="O184:O218" si="205">10^(2+(N184/100))</f>
        <v>457.0881896148756</v>
      </c>
      <c r="P184" s="33" t="str">
        <f t="shared" si="155"/>
        <v>54,631621870174</v>
      </c>
      <c r="Q184" s="4" t="str">
        <f t="shared" si="156"/>
        <v>1+12,8201864306436i</v>
      </c>
      <c r="R184" s="4">
        <f t="shared" si="168"/>
        <v>12.859128279804127</v>
      </c>
      <c r="S184" s="4">
        <f t="shared" si="169"/>
        <v>1.4929519620599452</v>
      </c>
      <c r="T184" s="4" t="str">
        <f t="shared" si="157"/>
        <v>1+0,0434241833317513i</v>
      </c>
      <c r="U184" s="4">
        <f t="shared" si="170"/>
        <v>1.0009423858035134</v>
      </c>
      <c r="V184" s="4">
        <f t="shared" si="171"/>
        <v>4.3396919760191645E-2</v>
      </c>
      <c r="W184" t="str">
        <f t="shared" si="158"/>
        <v>1-0,0114285409693462i</v>
      </c>
      <c r="X184" s="4">
        <f t="shared" si="172"/>
        <v>1.0000653036420613</v>
      </c>
      <c r="Y184" s="4">
        <f t="shared" si="173"/>
        <v>-1.1428043441856902E-2</v>
      </c>
      <c r="Z184" t="str">
        <f t="shared" si="159"/>
        <v>0,999999164281548+0,00157018909466168i</v>
      </c>
      <c r="AA184" s="4">
        <f t="shared" si="174"/>
        <v>1.0000003970287148</v>
      </c>
      <c r="AB184" s="4">
        <f t="shared" si="175"/>
        <v>1.5701891164669609E-3</v>
      </c>
      <c r="AC184" s="47" t="str">
        <f t="shared" si="176"/>
        <v>0,459432228926209-4,22786032103772i</v>
      </c>
      <c r="AD184" s="20">
        <f t="shared" si="177"/>
        <v>12.573396657899158</v>
      </c>
      <c r="AE184" s="43">
        <f t="shared" si="178"/>
        <v>-83.798129962404872</v>
      </c>
      <c r="AF184" t="str">
        <f t="shared" si="160"/>
        <v>171,265703090588</v>
      </c>
      <c r="AG184" t="str">
        <f t="shared" si="161"/>
        <v>1+12,6974970229642i</v>
      </c>
      <c r="AH184">
        <f t="shared" si="179"/>
        <v>12.736813991268958</v>
      </c>
      <c r="AI184">
        <f t="shared" si="180"/>
        <v>1.4922028707219226</v>
      </c>
      <c r="AJ184" t="str">
        <f t="shared" si="162"/>
        <v>1+0,0434241833317513i</v>
      </c>
      <c r="AK184">
        <f t="shared" si="181"/>
        <v>1.0009423858035134</v>
      </c>
      <c r="AL184">
        <f t="shared" si="182"/>
        <v>4.3396919760191645E-2</v>
      </c>
      <c r="AM184" t="str">
        <f t="shared" si="163"/>
        <v>1-0,0036106708941984i</v>
      </c>
      <c r="AN184">
        <f t="shared" si="183"/>
        <v>1.0000065184509082</v>
      </c>
      <c r="AO184">
        <f t="shared" si="184"/>
        <v>-3.6106552036160155E-3</v>
      </c>
      <c r="AP184" s="41" t="str">
        <f t="shared" si="185"/>
        <v>1,58958586898196-13,3650726390211i</v>
      </c>
      <c r="AQ184">
        <f t="shared" si="186"/>
        <v>22.58043013049431</v>
      </c>
      <c r="AR184" s="43">
        <f t="shared" si="187"/>
        <v>-83.217341627989072</v>
      </c>
      <c r="AS184" t="str">
        <f t="shared" si="164"/>
        <v>-0,0000166666666666667</v>
      </c>
      <c r="AT184" t="str">
        <f t="shared" si="165"/>
        <v>4,40272969891368E-06i</v>
      </c>
      <c r="AU184">
        <f t="shared" si="188"/>
        <v>4.4027296989136802E-6</v>
      </c>
      <c r="AV184">
        <f t="shared" si="189"/>
        <v>1.5707963267948966</v>
      </c>
      <c r="AW184" t="str">
        <f t="shared" si="166"/>
        <v>1+0,0204016641161973i</v>
      </c>
      <c r="AX184">
        <f t="shared" si="190"/>
        <v>1.0002080922981529</v>
      </c>
      <c r="AY184">
        <f t="shared" si="191"/>
        <v>2.039883424229208E-2</v>
      </c>
      <c r="AZ184" t="str">
        <f t="shared" si="167"/>
        <v>1+0,947750033034255i</v>
      </c>
      <c r="BA184">
        <f t="shared" si="192"/>
        <v>1.3777627245343922</v>
      </c>
      <c r="BB184">
        <f t="shared" si="193"/>
        <v>0.75857878819716518</v>
      </c>
      <c r="BC184" s="41" t="str">
        <f t="shared" si="194"/>
        <v>-3,50904478448166+3,85712065049944i</v>
      </c>
      <c r="BD184">
        <f t="shared" si="195"/>
        <v>14.344215863532705</v>
      </c>
      <c r="BE184" s="43">
        <f t="shared" si="196"/>
        <v>132.29459588277564</v>
      </c>
      <c r="BF184" s="41" t="str">
        <f t="shared" si="197"/>
        <v>14,6951990849655+16,6078367467506i</v>
      </c>
      <c r="BG184" s="20">
        <f t="shared" si="198"/>
        <v>26.91761252143186</v>
      </c>
      <c r="BH184" s="43">
        <f t="shared" si="199"/>
        <v>48.496465920370674</v>
      </c>
      <c r="BI184" s="41" t="str">
        <f t="shared" si="203"/>
        <v>45,9727696683564+53,0298629191679i</v>
      </c>
      <c r="BJ184" s="20">
        <f t="shared" si="200"/>
        <v>36.924645994027003</v>
      </c>
      <c r="BK184" s="43">
        <f t="shared" si="204"/>
        <v>49.077254254786574</v>
      </c>
      <c r="BL184">
        <f t="shared" si="201"/>
        <v>26.91761252143186</v>
      </c>
      <c r="BM184" s="43">
        <f t="shared" si="202"/>
        <v>48.496465920370674</v>
      </c>
    </row>
    <row r="185" spans="14:65" x14ac:dyDescent="0.25">
      <c r="N185" s="9">
        <v>67</v>
      </c>
      <c r="O185" s="34">
        <f t="shared" si="205"/>
        <v>467.7351412871983</v>
      </c>
      <c r="P185" s="33" t="str">
        <f t="shared" si="155"/>
        <v>54,631621870174</v>
      </c>
      <c r="Q185" s="4" t="str">
        <f t="shared" si="156"/>
        <v>1+13,1188069342104i</v>
      </c>
      <c r="R185" s="4">
        <f t="shared" si="168"/>
        <v>13.156864952453031</v>
      </c>
      <c r="S185" s="4">
        <f t="shared" si="169"/>
        <v>1.4947170075518545</v>
      </c>
      <c r="T185" s="4" t="str">
        <f t="shared" si="157"/>
        <v>1+0,0444356624988958i</v>
      </c>
      <c r="U185" s="4">
        <f t="shared" si="170"/>
        <v>1.0009867771862502</v>
      </c>
      <c r="V185" s="4">
        <f t="shared" si="171"/>
        <v>4.440645061080295E-2</v>
      </c>
      <c r="W185" t="str">
        <f t="shared" si="158"/>
        <v>1-0,0116947458859254i</v>
      </c>
      <c r="X185" s="4">
        <f t="shared" si="172"/>
        <v>1.0000683812026738</v>
      </c>
      <c r="Y185" s="4">
        <f t="shared" si="173"/>
        <v>-1.1694212777584456E-2</v>
      </c>
      <c r="Z185" t="str">
        <f t="shared" si="159"/>
        <v>0,99999912489535+0,00160676349712296i</v>
      </c>
      <c r="AA185" s="4">
        <f t="shared" si="174"/>
        <v>1.0000004157401143</v>
      </c>
      <c r="AB185" s="4">
        <f t="shared" si="175"/>
        <v>1.6067635204877289E-3</v>
      </c>
      <c r="AC185" s="47" t="str">
        <f t="shared" si="176"/>
        <v>0,44468329949645-4,13285366834774i</v>
      </c>
      <c r="AD185" s="20">
        <f t="shared" si="177"/>
        <v>12.374990668692689</v>
      </c>
      <c r="AE185" s="43">
        <f t="shared" si="178"/>
        <v>-83.85876370127319</v>
      </c>
      <c r="AF185" t="str">
        <f t="shared" si="160"/>
        <v>171,265703090588</v>
      </c>
      <c r="AG185" t="str">
        <f t="shared" si="161"/>
        <v>1+12,993259723105i</v>
      </c>
      <c r="AH185">
        <f t="shared" si="179"/>
        <v>13.031684397347206</v>
      </c>
      <c r="AI185">
        <f t="shared" si="180"/>
        <v>1.4939847663907433</v>
      </c>
      <c r="AJ185" t="str">
        <f t="shared" si="162"/>
        <v>1+0,0444356624988958i</v>
      </c>
      <c r="AK185">
        <f t="shared" si="181"/>
        <v>1.0009867771862502</v>
      </c>
      <c r="AL185">
        <f t="shared" si="182"/>
        <v>4.440645061080295E-2</v>
      </c>
      <c r="AM185" t="str">
        <f t="shared" si="163"/>
        <v>1-0,0036947742234653i</v>
      </c>
      <c r="AN185">
        <f t="shared" si="183"/>
        <v>1.0000068256549863</v>
      </c>
      <c r="AO185">
        <f t="shared" si="184"/>
        <v>-3.6947574107095626E-3</v>
      </c>
      <c r="AP185" s="41" t="str">
        <f t="shared" si="185"/>
        <v>1,54249858180826-13,0645678209292i</v>
      </c>
      <c r="AQ185">
        <f t="shared" si="186"/>
        <v>22.382023061296017</v>
      </c>
      <c r="AR185" s="43">
        <f t="shared" si="187"/>
        <v>-83.266413573831031</v>
      </c>
      <c r="AS185" t="str">
        <f t="shared" si="164"/>
        <v>-0,0000166666666666667</v>
      </c>
      <c r="AT185" t="str">
        <f t="shared" si="165"/>
        <v>4,50528244780472E-06i</v>
      </c>
      <c r="AU185">
        <f t="shared" si="188"/>
        <v>4.5052824478047197E-6</v>
      </c>
      <c r="AV185">
        <f t="shared" si="189"/>
        <v>1.5707963267948966</v>
      </c>
      <c r="AW185" t="str">
        <f t="shared" si="166"/>
        <v>1+0,0208768799209704i</v>
      </c>
      <c r="AX185">
        <f t="shared" si="190"/>
        <v>1.0002178983177787</v>
      </c>
      <c r="AY185">
        <f t="shared" si="191"/>
        <v>2.0873847692125701E-2</v>
      </c>
      <c r="AZ185" t="str">
        <f t="shared" si="167"/>
        <v>1+0,969825967237806i</v>
      </c>
      <c r="BA185">
        <f t="shared" si="192"/>
        <v>1.3930407053380551</v>
      </c>
      <c r="BB185">
        <f t="shared" si="193"/>
        <v>0.77008124020935509</v>
      </c>
      <c r="BC185" s="41" t="str">
        <f t="shared" si="194"/>
        <v>-3,50897598028727+3,77261757789812i</v>
      </c>
      <c r="BD185">
        <f t="shared" si="195"/>
        <v>14.23991823168503</v>
      </c>
      <c r="BE185" s="43">
        <f t="shared" si="196"/>
        <v>132.92642157123839</v>
      </c>
      <c r="BF185" s="41" t="str">
        <f t="shared" si="197"/>
        <v>14,0312933793215+16,1797042845524i</v>
      </c>
      <c r="BG185" s="20">
        <f t="shared" si="198"/>
        <v>26.614908900377728</v>
      </c>
      <c r="BH185" s="43">
        <f t="shared" si="199"/>
        <v>49.067657869965181</v>
      </c>
      <c r="BI185" s="41" t="str">
        <f t="shared" si="203"/>
        <v>43,8750277356873+51,6625119400873i</v>
      </c>
      <c r="BJ185" s="20">
        <f t="shared" si="200"/>
        <v>36.621941292981049</v>
      </c>
      <c r="BK185" s="43">
        <f t="shared" si="204"/>
        <v>49.660007997407348</v>
      </c>
      <c r="BL185">
        <f t="shared" si="201"/>
        <v>26.614908900377728</v>
      </c>
      <c r="BM185" s="43">
        <f t="shared" si="202"/>
        <v>49.067657869965181</v>
      </c>
    </row>
    <row r="186" spans="14:65" x14ac:dyDescent="0.25">
      <c r="N186" s="9">
        <v>68</v>
      </c>
      <c r="O186" s="34">
        <f t="shared" si="205"/>
        <v>478.63009232263886</v>
      </c>
      <c r="P186" s="33" t="str">
        <f t="shared" si="155"/>
        <v>54,631621870174</v>
      </c>
      <c r="Q186" s="4" t="str">
        <f t="shared" si="156"/>
        <v>1+13,4243832028617i</v>
      </c>
      <c r="R186" s="4">
        <f t="shared" si="168"/>
        <v>13.461577336154756</v>
      </c>
      <c r="S186" s="4">
        <f t="shared" si="169"/>
        <v>1.4964423347613514</v>
      </c>
      <c r="T186" s="4" t="str">
        <f t="shared" si="157"/>
        <v>1+0,0454707020424729i</v>
      </c>
      <c r="U186" s="4">
        <f t="shared" si="170"/>
        <v>1.0010332585604913</v>
      </c>
      <c r="V186" s="4">
        <f t="shared" si="171"/>
        <v>4.5439402685134279E-2</v>
      </c>
      <c r="W186" t="str">
        <f t="shared" si="158"/>
        <v>1-0,0119671515115717i</v>
      </c>
      <c r="X186" s="4">
        <f t="shared" si="172"/>
        <v>1.0000716037940989</v>
      </c>
      <c r="Y186" s="4">
        <f t="shared" si="173"/>
        <v>-1.1966580277901522E-2</v>
      </c>
      <c r="Z186" t="str">
        <f t="shared" si="159"/>
        <v>0,999999083652939+0,00164418982685844i</v>
      </c>
      <c r="AA186" s="4">
        <f t="shared" si="174"/>
        <v>1.0000004353333574</v>
      </c>
      <c r="AB186" s="4">
        <f t="shared" si="175"/>
        <v>1.6441898518942271E-3</v>
      </c>
      <c r="AC186" s="47" t="str">
        <f t="shared" si="176"/>
        <v>0,430590667058347-4,0399376423434i</v>
      </c>
      <c r="AD186" s="20">
        <f t="shared" si="177"/>
        <v>12.176551140101704</v>
      </c>
      <c r="AE186" s="43">
        <f t="shared" si="178"/>
        <v>-83.91618375343495</v>
      </c>
      <c r="AF186" t="str">
        <f t="shared" si="160"/>
        <v>171,265703090588</v>
      </c>
      <c r="AG186" t="str">
        <f t="shared" si="161"/>
        <v>1+13,2959116215371i</v>
      </c>
      <c r="AH186">
        <f t="shared" si="179"/>
        <v>13.333464135314772</v>
      </c>
      <c r="AI186">
        <f t="shared" si="180"/>
        <v>1.4957265735501664</v>
      </c>
      <c r="AJ186" t="str">
        <f t="shared" si="162"/>
        <v>1+0,0454707020424729i</v>
      </c>
      <c r="AK186">
        <f t="shared" si="181"/>
        <v>1.0010332585604913</v>
      </c>
      <c r="AL186">
        <f t="shared" si="182"/>
        <v>4.5439402685134279E-2</v>
      </c>
      <c r="AM186" t="str">
        <f t="shared" si="163"/>
        <v>1-0,00378083657093161i</v>
      </c>
      <c r="AN186">
        <f t="shared" si="183"/>
        <v>1.0000071473370458</v>
      </c>
      <c r="AO186">
        <f t="shared" si="184"/>
        <v>-3.7808185557462173E-3</v>
      </c>
      <c r="AP186" s="41" t="str">
        <f t="shared" si="185"/>
        <v>1,49750616845749-12,7706655467819i</v>
      </c>
      <c r="AQ186">
        <f t="shared" si="186"/>
        <v>22.18358031127805</v>
      </c>
      <c r="AR186" s="43">
        <f t="shared" si="187"/>
        <v>-83.311958918883818</v>
      </c>
      <c r="AS186" t="str">
        <f t="shared" si="164"/>
        <v>-0,0000166666666666667</v>
      </c>
      <c r="AT186" t="str">
        <f t="shared" si="165"/>
        <v>4,61022395708406E-06i</v>
      </c>
      <c r="AU186">
        <f t="shared" si="188"/>
        <v>4.6102239570840603E-6</v>
      </c>
      <c r="AV186">
        <f t="shared" si="189"/>
        <v>1.5707963267948966</v>
      </c>
      <c r="AW186" t="str">
        <f t="shared" si="166"/>
        <v>1+0,0213631649238158i</v>
      </c>
      <c r="AX186">
        <f t="shared" si="190"/>
        <v>1.000228166377833</v>
      </c>
      <c r="AY186">
        <f t="shared" si="191"/>
        <v>2.1359915872098931E-2</v>
      </c>
      <c r="AZ186" t="str">
        <f t="shared" si="167"/>
        <v>1+0,992416116006351i</v>
      </c>
      <c r="BA186">
        <f t="shared" si="192"/>
        <v>1.4088611526013242</v>
      </c>
      <c r="BB186">
        <f t="shared" si="193"/>
        <v>0.78159180622803637</v>
      </c>
      <c r="BC186" s="41" t="str">
        <f t="shared" si="194"/>
        <v>-3,50890393634296+3,69011466170649i</v>
      </c>
      <c r="BD186">
        <f t="shared" si="195"/>
        <v>14.137916810626294</v>
      </c>
      <c r="BE186" s="43">
        <f t="shared" si="196"/>
        <v>133.5580787686475</v>
      </c>
      <c r="BF186" s="41" t="str">
        <f t="shared" si="197"/>
        <v>13,3969318397978+15,7646820295048i</v>
      </c>
      <c r="BG186" s="20">
        <f t="shared" si="198"/>
        <v>26.314467950728002</v>
      </c>
      <c r="BH186" s="43">
        <f t="shared" si="199"/>
        <v>49.641895015212377</v>
      </c>
      <c r="BI186" s="41" t="str">
        <f t="shared" si="203"/>
        <v>41,8706148847315+50,3370080750433i</v>
      </c>
      <c r="BJ186" s="20">
        <f t="shared" si="200"/>
        <v>36.321497121904343</v>
      </c>
      <c r="BK186" s="43">
        <f t="shared" si="204"/>
        <v>50.246119849763645</v>
      </c>
      <c r="BL186">
        <f t="shared" si="201"/>
        <v>26.314467950728002</v>
      </c>
      <c r="BM186" s="43">
        <f t="shared" si="202"/>
        <v>49.641895015212377</v>
      </c>
    </row>
    <row r="187" spans="14:65" x14ac:dyDescent="0.25">
      <c r="N187" s="9">
        <v>69</v>
      </c>
      <c r="O187" s="34">
        <f t="shared" si="205"/>
        <v>489.77881936844625</v>
      </c>
      <c r="P187" s="33" t="str">
        <f t="shared" si="155"/>
        <v>54,631621870174</v>
      </c>
      <c r="Q187" s="4" t="str">
        <f t="shared" si="156"/>
        <v>1+13,7370772571799i</v>
      </c>
      <c r="R187" s="4">
        <f t="shared" si="168"/>
        <v>13.773427008908468</v>
      </c>
      <c r="S187" s="4">
        <f t="shared" si="169"/>
        <v>1.4981288173697702</v>
      </c>
      <c r="T187" s="4" t="str">
        <f t="shared" si="157"/>
        <v>1+0,0465298507541487i</v>
      </c>
      <c r="U187" s="4">
        <f t="shared" si="170"/>
        <v>1.0010819282212637</v>
      </c>
      <c r="V187" s="4">
        <f t="shared" si="171"/>
        <v>4.6496314845833317E-2</v>
      </c>
      <c r="W187" t="str">
        <f t="shared" si="158"/>
        <v>1-0,0122459022793534i</v>
      </c>
      <c r="X187" s="4">
        <f t="shared" si="172"/>
        <v>1.0000749782504488</v>
      </c>
      <c r="Y187" s="4">
        <f t="shared" si="173"/>
        <v>-1.2245290193926435E-2</v>
      </c>
      <c r="Z187" t="str">
        <f t="shared" si="159"/>
        <v>0,999999040466832+0,00168248792780355i</v>
      </c>
      <c r="AA187" s="4">
        <f t="shared" si="174"/>
        <v>1.000000455850002</v>
      </c>
      <c r="AB187" s="4">
        <f t="shared" si="175"/>
        <v>1.6824879546298657E-3</v>
      </c>
      <c r="AC187" s="47" t="str">
        <f t="shared" si="176"/>
        <v>0,417125447131313-3,94906962343768i</v>
      </c>
      <c r="AD187" s="20">
        <f t="shared" si="177"/>
        <v>11.978081336435995</v>
      </c>
      <c r="AE187" s="43">
        <f t="shared" si="178"/>
        <v>-83.970418704542197</v>
      </c>
      <c r="AF187" t="str">
        <f t="shared" si="160"/>
        <v>171,265703090588</v>
      </c>
      <c r="AG187" t="str">
        <f t="shared" si="161"/>
        <v>1+13,6056131883032i</v>
      </c>
      <c r="AH187">
        <f t="shared" si="179"/>
        <v>13.642313228691457</v>
      </c>
      <c r="AI187">
        <f t="shared" si="180"/>
        <v>1.4974291734301173</v>
      </c>
      <c r="AJ187" t="str">
        <f t="shared" si="162"/>
        <v>1+0,0465298507541487i</v>
      </c>
      <c r="AK187">
        <f t="shared" si="181"/>
        <v>1.0010819282212637</v>
      </c>
      <c r="AL187">
        <f t="shared" si="182"/>
        <v>4.6496314845833317E-2</v>
      </c>
      <c r="AM187" t="str">
        <f t="shared" si="163"/>
        <v>1-0,00386890356799312i</v>
      </c>
      <c r="AN187">
        <f t="shared" si="183"/>
        <v>1.0000074841794029</v>
      </c>
      <c r="AO187">
        <f t="shared" si="184"/>
        <v>-3.8688842643819867E-3</v>
      </c>
      <c r="AP187" s="41" t="str">
        <f t="shared" si="185"/>
        <v>1,45451647357699-12,4832314011559i</v>
      </c>
      <c r="AQ187">
        <f t="shared" si="186"/>
        <v>21.985105136367427</v>
      </c>
      <c r="AR187" s="43">
        <f t="shared" si="187"/>
        <v>-83.353999893505019</v>
      </c>
      <c r="AS187" t="str">
        <f t="shared" si="164"/>
        <v>-0,0000166666666666667</v>
      </c>
      <c r="AT187" t="str">
        <f t="shared" si="165"/>
        <v>4,71760986812896E-06i</v>
      </c>
      <c r="AU187">
        <f t="shared" si="188"/>
        <v>4.7176098681289601E-6</v>
      </c>
      <c r="AV187">
        <f t="shared" si="189"/>
        <v>1.5707963267948966</v>
      </c>
      <c r="AW187" t="str">
        <f t="shared" si="166"/>
        <v>1+0,0218607769594787i</v>
      </c>
      <c r="AX187">
        <f t="shared" si="190"/>
        <v>1.0002389182436724</v>
      </c>
      <c r="AY187">
        <f t="shared" si="191"/>
        <v>2.1857295582751315E-2</v>
      </c>
      <c r="AZ187" t="str">
        <f t="shared" si="167"/>
        <v>1+1,01553245693578i</v>
      </c>
      <c r="BA187">
        <f t="shared" si="192"/>
        <v>1.4252389873596716</v>
      </c>
      <c r="BB187">
        <f t="shared" si="193"/>
        <v>0.79310438981485809</v>
      </c>
      <c r="BC187" s="41" t="str">
        <f t="shared" si="194"/>
        <v>-3,50882850024282+3,60956814811396i</v>
      </c>
      <c r="BD187">
        <f t="shared" si="195"/>
        <v>14.038213437462961</v>
      </c>
      <c r="BE187" s="43">
        <f t="shared" si="196"/>
        <v>134.18920346122815</v>
      </c>
      <c r="BF187" s="41" t="str">
        <f t="shared" si="197"/>
        <v>12,7908142703742+15,3622507718943i</v>
      </c>
      <c r="BG187" s="20">
        <f t="shared" si="198"/>
        <v>26.016294773898974</v>
      </c>
      <c r="BH187" s="43">
        <f t="shared" si="199"/>
        <v>50.218784756685871</v>
      </c>
      <c r="BI187" s="41" t="str">
        <f t="shared" si="203"/>
        <v>39,9554255945887+49,0516944494325i</v>
      </c>
      <c r="BJ187" s="20">
        <f t="shared" si="200"/>
        <v>36.023318573830394</v>
      </c>
      <c r="BK187" s="43">
        <f t="shared" si="204"/>
        <v>50.83520356772317</v>
      </c>
      <c r="BL187">
        <f t="shared" si="201"/>
        <v>26.016294773898974</v>
      </c>
      <c r="BM187" s="43">
        <f t="shared" si="202"/>
        <v>50.218784756685871</v>
      </c>
    </row>
    <row r="188" spans="14:65" x14ac:dyDescent="0.25">
      <c r="N188" s="9">
        <v>70</v>
      </c>
      <c r="O188" s="34">
        <f t="shared" si="205"/>
        <v>501.18723362727269</v>
      </c>
      <c r="P188" s="33" t="str">
        <f t="shared" si="155"/>
        <v>54,631621870174</v>
      </c>
      <c r="Q188" s="4" t="str">
        <f t="shared" si="156"/>
        <v>1+14,0570548916915i</v>
      </c>
      <c r="R188" s="4">
        <f t="shared" si="168"/>
        <v>14.092579331975672</v>
      </c>
      <c r="S188" s="4">
        <f t="shared" si="169"/>
        <v>1.4997773111771442</v>
      </c>
      <c r="T188" s="4" t="str">
        <f t="shared" si="157"/>
        <v>1+0,0476136702085897i</v>
      </c>
      <c r="U188" s="4">
        <f t="shared" si="170"/>
        <v>1.0011328890765363</v>
      </c>
      <c r="V188" s="4">
        <f t="shared" si="171"/>
        <v>4.7577738031241781E-2</v>
      </c>
      <c r="W188" t="str">
        <f t="shared" si="158"/>
        <v>1-0,0125311459866172i</v>
      </c>
      <c r="X188" s="4">
        <f t="shared" si="172"/>
        <v>1.0000785117278232</v>
      </c>
      <c r="Y188" s="4">
        <f t="shared" si="173"/>
        <v>-1.2530490128046572E-2</v>
      </c>
      <c r="Z188" t="str">
        <f t="shared" si="159"/>
        <v>0,999998995245427+0,00172167810611834i</v>
      </c>
      <c r="AA188" s="4">
        <f t="shared" si="174"/>
        <v>1.0000004773335684</v>
      </c>
      <c r="AB188" s="4">
        <f t="shared" si="175"/>
        <v>1.7216781348632386E-3</v>
      </c>
      <c r="AC188" s="47" t="str">
        <f t="shared" si="176"/>
        <v>0,404259998314246-3,86020764226285i</v>
      </c>
      <c r="AD188" s="20">
        <f t="shared" si="177"/>
        <v>11.779584460822754</v>
      </c>
      <c r="AE188" s="43">
        <f t="shared" si="178"/>
        <v>-84.021495642334898</v>
      </c>
      <c r="AF188" t="str">
        <f t="shared" si="160"/>
        <v>171,265703090588</v>
      </c>
      <c r="AG188" t="str">
        <f t="shared" si="161"/>
        <v>1+13,9225286312732i</v>
      </c>
      <c r="AH188">
        <f t="shared" si="179"/>
        <v>13.958395448210444</v>
      </c>
      <c r="AI188">
        <f t="shared" si="180"/>
        <v>1.499093429264873</v>
      </c>
      <c r="AJ188" t="str">
        <f t="shared" si="162"/>
        <v>1+0,0476136702085897i</v>
      </c>
      <c r="AK188">
        <f t="shared" si="181"/>
        <v>1.0011328890765363</v>
      </c>
      <c r="AL188">
        <f t="shared" si="182"/>
        <v>4.7577738031241781E-2</v>
      </c>
      <c r="AM188" t="str">
        <f t="shared" si="163"/>
        <v>1-0,00395902190893736i</v>
      </c>
      <c r="AN188">
        <f t="shared" si="183"/>
        <v>1.0000078368965293</v>
      </c>
      <c r="AO188">
        <f t="shared" si="184"/>
        <v>-3.9590012247541252E-3</v>
      </c>
      <c r="AP188" s="41" t="str">
        <f t="shared" si="185"/>
        <v>1,41344130438532-12,2021329947165i</v>
      </c>
      <c r="AQ188">
        <f t="shared" si="186"/>
        <v>21.786600726888121</v>
      </c>
      <c r="AR188" s="43">
        <f t="shared" si="187"/>
        <v>-83.392557065966969</v>
      </c>
      <c r="AS188" t="str">
        <f t="shared" si="164"/>
        <v>-0,0000166666666666667</v>
      </c>
      <c r="AT188" t="str">
        <f t="shared" si="165"/>
        <v>0,0000048274971183709i</v>
      </c>
      <c r="AU188">
        <f t="shared" si="188"/>
        <v>4.8274971183709003E-6</v>
      </c>
      <c r="AV188">
        <f t="shared" si="189"/>
        <v>1.5707963267948966</v>
      </c>
      <c r="AW188" t="str">
        <f t="shared" si="166"/>
        <v>1+0,0223699798684471i</v>
      </c>
      <c r="AX188">
        <f t="shared" si="190"/>
        <v>1.0002501767054655</v>
      </c>
      <c r="AY188">
        <f t="shared" si="191"/>
        <v>2.2366249556464234E-2</v>
      </c>
      <c r="AZ188" t="str">
        <f t="shared" si="167"/>
        <v>1+1,03918724661604i</v>
      </c>
      <c r="BA188">
        <f t="shared" si="192"/>
        <v>1.4421893542560307</v>
      </c>
      <c r="BB188">
        <f t="shared" si="193"/>
        <v>0.80461288918795482</v>
      </c>
      <c r="BC188" s="41" t="str">
        <f t="shared" si="194"/>
        <v>-3,50874951242516+3,53093531992979i</v>
      </c>
      <c r="BD188">
        <f t="shared" si="195"/>
        <v>13.940807501092003</v>
      </c>
      <c r="BE188" s="43">
        <f t="shared" si="196"/>
        <v>134.81943098917552</v>
      </c>
      <c r="BF188" s="41" t="str">
        <f t="shared" si="197"/>
        <v>12,2116964343507+14,9719175891322i</v>
      </c>
      <c r="BG188" s="20">
        <f t="shared" si="198"/>
        <v>25.720391961914761</v>
      </c>
      <c r="BH188" s="43">
        <f t="shared" si="199"/>
        <v>50.79793534684061</v>
      </c>
      <c r="BI188" s="41" t="str">
        <f t="shared" si="203"/>
        <v>38,1255308819216+47,8049980200602i</v>
      </c>
      <c r="BJ188" s="20">
        <f t="shared" si="200"/>
        <v>35.727408227980121</v>
      </c>
      <c r="BK188" s="43">
        <f t="shared" si="204"/>
        <v>51.42687392320849</v>
      </c>
      <c r="BL188">
        <f t="shared" si="201"/>
        <v>25.720391961914761</v>
      </c>
      <c r="BM188" s="43">
        <f t="shared" si="202"/>
        <v>50.79793534684061</v>
      </c>
    </row>
    <row r="189" spans="14:65" x14ac:dyDescent="0.25">
      <c r="N189" s="9">
        <v>71</v>
      </c>
      <c r="O189" s="34">
        <f t="shared" si="205"/>
        <v>512.86138399136519</v>
      </c>
      <c r="P189" s="33" t="str">
        <f t="shared" si="155"/>
        <v>54,631621870174</v>
      </c>
      <c r="Q189" s="4" t="str">
        <f t="shared" si="156"/>
        <v>1+14,3844857627738i</v>
      </c>
      <c r="R189" s="4">
        <f t="shared" si="168"/>
        <v>14.419203537624474</v>
      </c>
      <c r="S189" s="4">
        <f t="shared" si="169"/>
        <v>1.5013886543779331</v>
      </c>
      <c r="T189" s="4" t="str">
        <f t="shared" si="157"/>
        <v>1+0,0487227350612167i</v>
      </c>
      <c r="U189" s="4">
        <f t="shared" si="170"/>
        <v>1.0011862488627405</v>
      </c>
      <c r="V189" s="4">
        <f t="shared" si="171"/>
        <v>4.8684235502904932E-2</v>
      </c>
      <c r="W189" t="str">
        <f t="shared" si="158"/>
        <v>1-0,0128230338733525i</v>
      </c>
      <c r="X189" s="4">
        <f t="shared" si="172"/>
        <v>1.0000822117194752</v>
      </c>
      <c r="Y189" s="4">
        <f t="shared" si="173"/>
        <v>-1.2822331111352664E-2</v>
      </c>
      <c r="Z189" t="str">
        <f t="shared" si="159"/>
        <v>0,999998947892803+0,0017617811409541i</v>
      </c>
      <c r="AA189" s="4">
        <f t="shared" si="174"/>
        <v>1.0000004998296259</v>
      </c>
      <c r="AB189" s="4">
        <f t="shared" si="175"/>
        <v>1.7617811717547951E-3</v>
      </c>
      <c r="AC189" s="47" t="str">
        <f t="shared" si="176"/>
        <v>0,391967871255392-3,77331038564575i</v>
      </c>
      <c r="AD189" s="20">
        <f t="shared" si="177"/>
        <v>11.581063661645159</v>
      </c>
      <c r="AE189" s="43">
        <f t="shared" si="178"/>
        <v>-84.069440163311</v>
      </c>
      <c r="AF189" t="str">
        <f t="shared" si="160"/>
        <v>171,265703090588</v>
      </c>
      <c r="AG189" t="str">
        <f t="shared" si="161"/>
        <v>1+14,24682598321i</v>
      </c>
      <c r="AH189">
        <f t="shared" si="179"/>
        <v>14.281878398721494</v>
      </c>
      <c r="AI189">
        <f t="shared" si="180"/>
        <v>1.5007201865676856</v>
      </c>
      <c r="AJ189" t="str">
        <f t="shared" si="162"/>
        <v>1+0,0487227350612167i</v>
      </c>
      <c r="AK189">
        <f t="shared" si="181"/>
        <v>1.0011862488627405</v>
      </c>
      <c r="AL189">
        <f t="shared" si="182"/>
        <v>4.8684235502904932E-2</v>
      </c>
      <c r="AM189" t="str">
        <f t="shared" si="163"/>
        <v>1-0,00405123937570157i</v>
      </c>
      <c r="AN189">
        <f t="shared" si="183"/>
        <v>1.0000082062365685</v>
      </c>
      <c r="AO189">
        <f t="shared" si="184"/>
        <v>-4.0512172122097439E-3</v>
      </c>
      <c r="AP189" s="41" t="str">
        <f t="shared" si="185"/>
        <v>1,37419626832397-11,9272399849002i</v>
      </c>
      <c r="AQ189">
        <f t="shared" si="186"/>
        <v>21.588070213960492</v>
      </c>
      <c r="AR189" s="43">
        <f t="shared" si="187"/>
        <v>-83.427649345426843</v>
      </c>
      <c r="AS189" t="str">
        <f t="shared" si="164"/>
        <v>-0,0000166666666666667</v>
      </c>
      <c r="AT189" t="str">
        <f t="shared" si="165"/>
        <v>4,93994397148447E-06i</v>
      </c>
      <c r="AU189">
        <f t="shared" si="188"/>
        <v>4.9399439714844701E-6</v>
      </c>
      <c r="AV189">
        <f t="shared" si="189"/>
        <v>1.5707963267948966</v>
      </c>
      <c r="AW189" t="str">
        <f t="shared" si="166"/>
        <v>1+0,0228910436368435i</v>
      </c>
      <c r="AX189">
        <f t="shared" si="190"/>
        <v>1.0002619656263971</v>
      </c>
      <c r="AY189">
        <f t="shared" si="191"/>
        <v>2.2887046592075203E-2</v>
      </c>
      <c r="AZ189" t="str">
        <f t="shared" si="167"/>
        <v>1+1,06339302712973i</v>
      </c>
      <c r="BA189">
        <f t="shared" si="192"/>
        <v>1.4597276219035284</v>
      </c>
      <c r="BB189">
        <f t="shared" si="193"/>
        <v>0.81611121338015058</v>
      </c>
      <c r="BC189" s="41" t="str">
        <f t="shared" si="194"/>
        <v>-3,50866680583784+3,45417447388469i</v>
      </c>
      <c r="BD189">
        <f t="shared" si="195"/>
        <v>13.845695943534615</v>
      </c>
      <c r="BE189" s="43">
        <f t="shared" si="196"/>
        <v>135.44839696473804</v>
      </c>
      <c r="BF189" s="41" t="str">
        <f t="shared" si="197"/>
        <v>11,6583877573128+14,5932143137117i</v>
      </c>
      <c r="BG189" s="20">
        <f t="shared" si="198"/>
        <v>25.426759605179758</v>
      </c>
      <c r="BH189" s="43">
        <f t="shared" si="199"/>
        <v>51.37895680142708</v>
      </c>
      <c r="BI189" s="41" t="str">
        <f t="shared" si="203"/>
        <v>36,3771710683645+46,5954246924334i</v>
      </c>
      <c r="BJ189" s="20">
        <f t="shared" si="200"/>
        <v>35.4337661574951</v>
      </c>
      <c r="BK189" s="43">
        <f t="shared" si="204"/>
        <v>52.020747619311223</v>
      </c>
      <c r="BL189">
        <f t="shared" si="201"/>
        <v>25.426759605179758</v>
      </c>
      <c r="BM189" s="43">
        <f t="shared" si="202"/>
        <v>51.37895680142708</v>
      </c>
    </row>
    <row r="190" spans="14:65" x14ac:dyDescent="0.25">
      <c r="N190" s="9">
        <v>72</v>
      </c>
      <c r="O190" s="34">
        <f t="shared" si="205"/>
        <v>524.80746024977248</v>
      </c>
      <c r="P190" s="33" t="str">
        <f t="shared" si="155"/>
        <v>54,631621870174</v>
      </c>
      <c r="Q190" s="4" t="str">
        <f t="shared" si="156"/>
        <v>1+14,7195434786087i</v>
      </c>
      <c r="R190" s="4">
        <f t="shared" si="168"/>
        <v>14.753472818921377</v>
      </c>
      <c r="S190" s="4">
        <f t="shared" si="169"/>
        <v>1.5029636678389588</v>
      </c>
      <c r="T190" s="4" t="str">
        <f t="shared" si="157"/>
        <v>1+0,0498576333528949i</v>
      </c>
      <c r="U190" s="4">
        <f t="shared" si="170"/>
        <v>1.0012421203702688</v>
      </c>
      <c r="V190" s="4">
        <f t="shared" si="171"/>
        <v>4.9816383096465348E-2</v>
      </c>
      <c r="W190" t="str">
        <f t="shared" si="158"/>
        <v>1-0,0131217207023803i</v>
      </c>
      <c r="X190" s="4">
        <f t="shared" si="172"/>
        <v>1.0000860860716898</v>
      </c>
      <c r="Y190" s="4">
        <f t="shared" si="173"/>
        <v>-1.3120967682831258E-2</v>
      </c>
      <c r="Z190" t="str">
        <f t="shared" si="159"/>
        <v>0,999998898308519+0,00180281829547072i</v>
      </c>
      <c r="AA190" s="4">
        <f t="shared" si="174"/>
        <v>1.0000005233858922</v>
      </c>
      <c r="AB190" s="4">
        <f t="shared" si="175"/>
        <v>1.8028183284742379E-3</v>
      </c>
      <c r="AC190" s="47" t="str">
        <f t="shared" si="176"/>
        <v>0,380223759497184-3,68833720113783i</v>
      </c>
      <c r="AD190" s="20">
        <f t="shared" si="177"/>
        <v>11.382522038886723</v>
      </c>
      <c r="AE190" s="43">
        <f t="shared" si="178"/>
        <v>-84.114276379444334</v>
      </c>
      <c r="AF190" t="str">
        <f t="shared" si="160"/>
        <v>171,265703090588</v>
      </c>
      <c r="AG190" t="str">
        <f t="shared" si="161"/>
        <v>1+14,5786771908622i</v>
      </c>
      <c r="AH190">
        <f t="shared" si="179"/>
        <v>14.612933608121462</v>
      </c>
      <c r="AI190">
        <f t="shared" si="180"/>
        <v>1.5023102734078655</v>
      </c>
      <c r="AJ190" t="str">
        <f t="shared" si="162"/>
        <v>1+0,0498576333528949i</v>
      </c>
      <c r="AK190">
        <f t="shared" si="181"/>
        <v>1.0012421203702688</v>
      </c>
      <c r="AL190">
        <f t="shared" si="182"/>
        <v>4.9816383096465348E-2</v>
      </c>
      <c r="AM190" t="str">
        <f t="shared" si="163"/>
        <v>1-0,00414560486320728i</v>
      </c>
      <c r="AN190">
        <f t="shared" si="183"/>
        <v>1.0000085929829212</v>
      </c>
      <c r="AO190">
        <f t="shared" si="184"/>
        <v>-4.1455811146089375E-3</v>
      </c>
      <c r="AP190" s="41" t="str">
        <f t="shared" si="185"/>
        <v>1,33670061664538-11,658424091916i</v>
      </c>
      <c r="AQ190">
        <f t="shared" si="186"/>
        <v>21.389516675798475</v>
      </c>
      <c r="AR190" s="43">
        <f t="shared" si="187"/>
        <v>-83.459293984877363</v>
      </c>
      <c r="AS190" t="str">
        <f t="shared" si="164"/>
        <v>-0,0000166666666666667</v>
      </c>
      <c r="AT190" t="str">
        <f t="shared" si="165"/>
        <v>5,05501004827961E-06i</v>
      </c>
      <c r="AU190">
        <f t="shared" si="188"/>
        <v>5.0550100482796097E-6</v>
      </c>
      <c r="AV190">
        <f t="shared" si="189"/>
        <v>1.5707963267948966</v>
      </c>
      <c r="AW190" t="str">
        <f t="shared" si="166"/>
        <v>1+0,0234242445395749i</v>
      </c>
      <c r="AX190">
        <f t="shared" si="190"/>
        <v>1.0002743099931388</v>
      </c>
      <c r="AY190">
        <f t="shared" si="191"/>
        <v>2.3419961692373904E-2</v>
      </c>
      <c r="AZ190" t="str">
        <f t="shared" si="167"/>
        <v>1+1,08816263270207i</v>
      </c>
      <c r="BA190">
        <f t="shared" si="192"/>
        <v>1.4778693836767511</v>
      </c>
      <c r="BB190">
        <f t="shared" si="193"/>
        <v>0.82759329832737505</v>
      </c>
      <c r="BC190" s="41" t="str">
        <f t="shared" si="194"/>
        <v>-3,50858020558802+3,37924489846631i</v>
      </c>
      <c r="BD190">
        <f t="shared" si="195"/>
        <v>13.752873271562169</v>
      </c>
      <c r="BE190" s="43">
        <f t="shared" si="196"/>
        <v>136.07573818613869</v>
      </c>
      <c r="BF190" s="41" t="str">
        <f t="shared" si="197"/>
        <v>11,1297491145024+14,2256960950027i</v>
      </c>
      <c r="BG190" s="20">
        <f t="shared" si="198"/>
        <v>25.135395310448896</v>
      </c>
      <c r="BH190" s="43">
        <f t="shared" si="199"/>
        <v>51.961461806694558</v>
      </c>
      <c r="BI190" s="41" t="str">
        <f t="shared" si="203"/>
        <v>34,7067488124046+45,4215547368226i</v>
      </c>
      <c r="BJ190" s="20">
        <f t="shared" si="200"/>
        <v>35.142389947360641</v>
      </c>
      <c r="BK190" s="43">
        <f t="shared" si="204"/>
        <v>52.616444201261309</v>
      </c>
      <c r="BL190">
        <f t="shared" si="201"/>
        <v>25.135395310448896</v>
      </c>
      <c r="BM190" s="43">
        <f t="shared" si="202"/>
        <v>51.961461806694558</v>
      </c>
    </row>
    <row r="191" spans="14:65" x14ac:dyDescent="0.25">
      <c r="N191" s="9">
        <v>73</v>
      </c>
      <c r="O191" s="34">
        <f t="shared" si="205"/>
        <v>537.03179637025301</v>
      </c>
      <c r="P191" s="33" t="str">
        <f t="shared" si="155"/>
        <v>54,631621870174</v>
      </c>
      <c r="Q191" s="4" t="str">
        <f t="shared" si="156"/>
        <v>1+15,0624056912321i</v>
      </c>
      <c r="R191" s="4">
        <f t="shared" si="168"/>
        <v>15.09556442161939</v>
      </c>
      <c r="S191" s="4">
        <f t="shared" si="169"/>
        <v>1.5045031553789601</v>
      </c>
      <c r="T191" s="4" t="str">
        <f t="shared" si="157"/>
        <v>1+0,0510189668217205i</v>
      </c>
      <c r="U191" s="4">
        <f t="shared" si="170"/>
        <v>1.0013006216794014</v>
      </c>
      <c r="V191" s="4">
        <f t="shared" si="171"/>
        <v>5.0974769475852236E-2</v>
      </c>
      <c r="W191" t="str">
        <f t="shared" si="158"/>
        <v>1-0,0134273648414111i</v>
      </c>
      <c r="X191" s="4">
        <f t="shared" si="172"/>
        <v>1.0000901430004119</v>
      </c>
      <c r="Y191" s="4">
        <f t="shared" si="173"/>
        <v>-1.3426557970354965E-2</v>
      </c>
      <c r="Z191" t="str">
        <f t="shared" si="159"/>
        <v>0,999998846387399+0,00184481132811072i</v>
      </c>
      <c r="AA191" s="4">
        <f t="shared" si="174"/>
        <v>1.0000005480523324</v>
      </c>
      <c r="AB191" s="4">
        <f t="shared" si="175"/>
        <v>1.8448113634746035E-3</v>
      </c>
      <c r="AC191" s="47" t="str">
        <f t="shared" si="176"/>
        <v>0,3690034521473-3,60524810021239i</v>
      </c>
      <c r="AD191" s="20">
        <f t="shared" si="177"/>
        <v>11.183962650392097</v>
      </c>
      <c r="AE191" s="43">
        <f t="shared" si="178"/>
        <v>-84.156026924924831</v>
      </c>
      <c r="AF191" t="str">
        <f t="shared" si="160"/>
        <v>171,265703090588</v>
      </c>
      <c r="AG191" t="str">
        <f t="shared" si="161"/>
        <v>1+14,9182582061326i</v>
      </c>
      <c r="AH191">
        <f t="shared" si="179"/>
        <v>14.951736618361183</v>
      </c>
      <c r="AI191">
        <f t="shared" si="180"/>
        <v>1.5038645006897304</v>
      </c>
      <c r="AJ191" t="str">
        <f t="shared" si="162"/>
        <v>1+0,0510189668217205i</v>
      </c>
      <c r="AK191">
        <f t="shared" si="181"/>
        <v>1.0013006216794014</v>
      </c>
      <c r="AL191">
        <f t="shared" si="182"/>
        <v>5.0974769475852236E-2</v>
      </c>
      <c r="AM191" t="str">
        <f t="shared" si="163"/>
        <v>1-0,00424216840528502i</v>
      </c>
      <c r="AN191">
        <f t="shared" si="183"/>
        <v>1.0000089979559079</v>
      </c>
      <c r="AO191">
        <f t="shared" si="184"/>
        <v>-4.2421429582157905E-3</v>
      </c>
      <c r="AP191" s="41" t="str">
        <f t="shared" si="185"/>
        <v>1,30087709378612-11,3955591104272i</v>
      </c>
      <c r="AQ191">
        <f t="shared" si="186"/>
        <v>21.190943143915121</v>
      </c>
      <c r="AR191" s="43">
        <f t="shared" si="187"/>
        <v>-83.487506584048717</v>
      </c>
      <c r="AS191" t="str">
        <f t="shared" si="164"/>
        <v>-0,0000166666666666667</v>
      </c>
      <c r="AT191" t="str">
        <f t="shared" si="165"/>
        <v>5,17275635831333E-06i</v>
      </c>
      <c r="AU191">
        <f t="shared" si="188"/>
        <v>5.1727563583133303E-6</v>
      </c>
      <c r="AV191">
        <f t="shared" si="189"/>
        <v>1.5707963267948966</v>
      </c>
      <c r="AW191" t="str">
        <f t="shared" si="166"/>
        <v>1+0,0239698652868177i</v>
      </c>
      <c r="AX191">
        <f t="shared" si="190"/>
        <v>1.0002872359686832</v>
      </c>
      <c r="AY191">
        <f t="shared" si="191"/>
        <v>2.3965276204529911E-2</v>
      </c>
      <c r="AZ191" t="str">
        <f t="shared" si="167"/>
        <v>1+1,1135091965058i</v>
      </c>
      <c r="BA191">
        <f t="shared" si="192"/>
        <v>1.4966304589654027</v>
      </c>
      <c r="BB191">
        <f t="shared" si="193"/>
        <v>0.83905312278386113</v>
      </c>
      <c r="BC191" s="41" t="str">
        <f t="shared" si="194"/>
        <v>-3,50848952857587+3,30610685227699i</v>
      </c>
      <c r="BD191">
        <f t="shared" si="195"/>
        <v>13.662331578505908</v>
      </c>
      <c r="BE191" s="43">
        <f t="shared" si="196"/>
        <v>136.70109354140243</v>
      </c>
      <c r="BF191" s="41" t="str">
        <f t="shared" si="197"/>
        <v>10,6246907004036+13,8689400491713i</v>
      </c>
      <c r="BG191" s="20">
        <f t="shared" si="198"/>
        <v>24.846294228898003</v>
      </c>
      <c r="BH191" s="43">
        <f t="shared" si="199"/>
        <v>52.545066616477733</v>
      </c>
      <c r="BI191" s="41" t="str">
        <f t="shared" si="203"/>
        <v>33,110822398998+44,2820384849377i</v>
      </c>
      <c r="BJ191" s="20">
        <f t="shared" si="200"/>
        <v>34.853274722421034</v>
      </c>
      <c r="BK191" s="43">
        <f t="shared" si="204"/>
        <v>53.213586957353769</v>
      </c>
      <c r="BL191">
        <f t="shared" si="201"/>
        <v>24.846294228898003</v>
      </c>
      <c r="BM191" s="43">
        <f t="shared" si="202"/>
        <v>52.545066616477733</v>
      </c>
    </row>
    <row r="192" spans="14:65" x14ac:dyDescent="0.25">
      <c r="N192" s="9">
        <v>74</v>
      </c>
      <c r="O192" s="34">
        <f t="shared" si="205"/>
        <v>549.54087385762534</v>
      </c>
      <c r="P192" s="33" t="str">
        <f t="shared" si="155"/>
        <v>54,631621870174</v>
      </c>
      <c r="Q192" s="4" t="str">
        <f t="shared" si="156"/>
        <v>1+15,4132541907276i</v>
      </c>
      <c r="R192" s="4">
        <f t="shared" si="168"/>
        <v>15.445659738191242</v>
      </c>
      <c r="S192" s="4">
        <f t="shared" si="169"/>
        <v>1.5060079040492327</v>
      </c>
      <c r="T192" s="4" t="str">
        <f t="shared" si="157"/>
        <v>1+0,052207351222071i</v>
      </c>
      <c r="U192" s="4">
        <f t="shared" si="170"/>
        <v>1.0013618764071381</v>
      </c>
      <c r="V192" s="4">
        <f t="shared" si="171"/>
        <v>5.2159996390667193E-2</v>
      </c>
      <c r="W192" t="str">
        <f t="shared" si="158"/>
        <v>1-0,0137401283470129i</v>
      </c>
      <c r="X192" s="4">
        <f t="shared" si="172"/>
        <v>1.0000943911086555</v>
      </c>
      <c r="Y192" s="4">
        <f t="shared" si="173"/>
        <v>-1.3739263773506521E-2</v>
      </c>
      <c r="Z192" t="str">
        <f t="shared" si="159"/>
        <v>0,999998792019312+0,00188778250413585i</v>
      </c>
      <c r="AA192" s="4">
        <f t="shared" si="174"/>
        <v>1.0000005738812683</v>
      </c>
      <c r="AB192" s="4">
        <f t="shared" si="175"/>
        <v>1.887782542028908E-3</v>
      </c>
      <c r="AC192" s="47" t="str">
        <f t="shared" si="176"/>
        <v>0,358283788326604-3,52400376023466i</v>
      </c>
      <c r="AD192" s="20">
        <f t="shared" si="177"/>
        <v>10.985388518055705</v>
      </c>
      <c r="AE192" s="43">
        <f t="shared" si="178"/>
        <v>-84.194712962896872</v>
      </c>
      <c r="AF192" t="str">
        <f t="shared" si="160"/>
        <v>171,265703090588</v>
      </c>
      <c r="AG192" t="str">
        <f t="shared" si="161"/>
        <v>1+15,2657490793703i</v>
      </c>
      <c r="AH192">
        <f t="shared" si="179"/>
        <v>15.298467078576701</v>
      </c>
      <c r="AI192">
        <f t="shared" si="180"/>
        <v>1.5053836624328547</v>
      </c>
      <c r="AJ192" t="str">
        <f t="shared" si="162"/>
        <v>1+0,052207351222071i</v>
      </c>
      <c r="AK192">
        <f t="shared" si="181"/>
        <v>1.0013618764071381</v>
      </c>
      <c r="AL192">
        <f t="shared" si="182"/>
        <v>5.2159996390667193E-2</v>
      </c>
      <c r="AM192" t="str">
        <f t="shared" si="163"/>
        <v>1-0,00434098120120299i</v>
      </c>
      <c r="AN192">
        <f t="shared" si="183"/>
        <v>1.0000094220145075</v>
      </c>
      <c r="AO192">
        <f t="shared" si="184"/>
        <v>-4.3409539341909241E-3</v>
      </c>
      <c r="AP192" s="41" t="str">
        <f t="shared" si="185"/>
        <v>1,26665179237095-11,1385209172513i</v>
      </c>
      <c r="AQ192">
        <f t="shared" si="186"/>
        <v>20.992352609245955</v>
      </c>
      <c r="AR192" s="43">
        <f t="shared" si="187"/>
        <v>-83.512301092236171</v>
      </c>
      <c r="AS192" t="str">
        <f t="shared" si="164"/>
        <v>-0,0000166666666666667</v>
      </c>
      <c r="AT192" t="str">
        <f t="shared" si="165"/>
        <v>5,29324533223775E-06i</v>
      </c>
      <c r="AU192">
        <f t="shared" si="188"/>
        <v>5.2932453322377504E-6</v>
      </c>
      <c r="AV192">
        <f t="shared" si="189"/>
        <v>1.5707963267948966</v>
      </c>
      <c r="AW192" t="str">
        <f t="shared" si="166"/>
        <v>1+0,0245281951739143i</v>
      </c>
      <c r="AX192">
        <f t="shared" si="190"/>
        <v>1.0003007709476635</v>
      </c>
      <c r="AY192">
        <f t="shared" si="191"/>
        <v>2.4523277963500036E-2</v>
      </c>
      <c r="AZ192" t="str">
        <f t="shared" si="167"/>
        <v>1+1,13944615762456i</v>
      </c>
      <c r="BA192">
        <f t="shared" si="192"/>
        <v>1.5160268949215161</v>
      </c>
      <c r="BB192">
        <f t="shared" si="193"/>
        <v>0.8504847239627199</v>
      </c>
      <c r="BC192" s="41" t="str">
        <f t="shared" si="194"/>
        <v>-3,50839458311122+3,23472154290189i</v>
      </c>
      <c r="BD192">
        <f t="shared" si="195"/>
        <v>13.574060576049895</v>
      </c>
      <c r="BE192" s="43">
        <f t="shared" si="196"/>
        <v>137.32410489627793</v>
      </c>
      <c r="BF192" s="41" t="str">
        <f t="shared" si="197"/>
        <v>10,1421699783167+13,5225439918434i</v>
      </c>
      <c r="BG192" s="20">
        <f t="shared" si="198"/>
        <v>24.559449094105588</v>
      </c>
      <c r="BH192" s="43">
        <f t="shared" si="199"/>
        <v>53.129391933381008</v>
      </c>
      <c r="BI192" s="41" t="str">
        <f t="shared" si="203"/>
        <v>31,5860992800537+43,1755922900931i</v>
      </c>
      <c r="BJ192" s="20">
        <f t="shared" si="200"/>
        <v>34.56641318529585</v>
      </c>
      <c r="BK192" s="43">
        <f t="shared" si="204"/>
        <v>53.811803804041794</v>
      </c>
      <c r="BL192">
        <f t="shared" si="201"/>
        <v>24.559449094105588</v>
      </c>
      <c r="BM192" s="43">
        <f t="shared" si="202"/>
        <v>53.129391933381008</v>
      </c>
    </row>
    <row r="193" spans="14:65" x14ac:dyDescent="0.25">
      <c r="N193" s="9">
        <v>75</v>
      </c>
      <c r="O193" s="34">
        <f t="shared" si="205"/>
        <v>562.34132519034927</v>
      </c>
      <c r="P193" s="33" t="str">
        <f t="shared" si="155"/>
        <v>54,631621870174</v>
      </c>
      <c r="Q193" s="4" t="str">
        <f t="shared" si="156"/>
        <v>1+15,7722750016135i</v>
      </c>
      <c r="R193" s="4">
        <f t="shared" si="168"/>
        <v>15.803944404056923</v>
      </c>
      <c r="S193" s="4">
        <f t="shared" si="169"/>
        <v>1.5074786844148473</v>
      </c>
      <c r="T193" s="4" t="str">
        <f t="shared" si="157"/>
        <v>1+0,0534234166510852i</v>
      </c>
      <c r="U193" s="4">
        <f t="shared" si="170"/>
        <v>1.001426013965423</v>
      </c>
      <c r="V193" s="4">
        <f t="shared" si="171"/>
        <v>5.337267893664803E-2</v>
      </c>
      <c r="W193" t="str">
        <f t="shared" si="158"/>
        <v>1-0,0140601770505365i</v>
      </c>
      <c r="X193" s="4">
        <f t="shared" si="172"/>
        <v>1.0000988394047323</v>
      </c>
      <c r="Y193" s="4">
        <f t="shared" si="173"/>
        <v>-1.4059250648278411E-2</v>
      </c>
      <c r="Z193" t="str">
        <f t="shared" si="159"/>
        <v>0,999998735088936+0,00193175460743243i</v>
      </c>
      <c r="AA193" s="4">
        <f t="shared" si="174"/>
        <v>1.0000006009274871</v>
      </c>
      <c r="AB193" s="4">
        <f t="shared" si="175"/>
        <v>1.9317546480355444E-3</v>
      </c>
      <c r="AC193" s="47" t="str">
        <f t="shared" si="176"/>
        <v>0,348042613343852-3,44456552530305i</v>
      </c>
      <c r="AD193" s="20">
        <f t="shared" si="177"/>
        <v>10.786802633948049</v>
      </c>
      <c r="AE193" s="43">
        <f t="shared" si="178"/>
        <v>-84.230354192177927</v>
      </c>
      <c r="AF193" t="str">
        <f t="shared" si="160"/>
        <v>171,265703090588</v>
      </c>
      <c r="AG193" t="str">
        <f t="shared" si="161"/>
        <v>1+15,621334054836i</v>
      </c>
      <c r="AH193">
        <f t="shared" si="179"/>
        <v>15.653308840394702</v>
      </c>
      <c r="AI193">
        <f t="shared" si="180"/>
        <v>1.5068685360531053</v>
      </c>
      <c r="AJ193" t="str">
        <f t="shared" si="162"/>
        <v>1+0,0534234166510852i</v>
      </c>
      <c r="AK193">
        <f t="shared" si="181"/>
        <v>1.001426013965423</v>
      </c>
      <c r="AL193">
        <f t="shared" si="182"/>
        <v>5.337267893664803E-2</v>
      </c>
      <c r="AM193" t="str">
        <f t="shared" si="163"/>
        <v>1-0,0044420956428135i</v>
      </c>
      <c r="AN193">
        <f t="shared" si="183"/>
        <v>1.0000098660581804</v>
      </c>
      <c r="AO193">
        <f t="shared" si="184"/>
        <v>-4.4420664256992438E-3</v>
      </c>
      <c r="AP193" s="41" t="str">
        <f t="shared" si="185"/>
        <v>1,23395401369178-10,8871874753975i</v>
      </c>
      <c r="AQ193">
        <f t="shared" si="186"/>
        <v>20.793748028201854</v>
      </c>
      <c r="AR193" s="43">
        <f t="shared" si="187"/>
        <v>-83.533689811032474</v>
      </c>
      <c r="AS193" t="str">
        <f t="shared" si="164"/>
        <v>-0,0000166666666666667</v>
      </c>
      <c r="AT193" t="str">
        <f t="shared" si="165"/>
        <v>0,0000054165408549017i</v>
      </c>
      <c r="AU193">
        <f t="shared" si="188"/>
        <v>5.4165408549017004E-6</v>
      </c>
      <c r="AV193">
        <f t="shared" si="189"/>
        <v>1.5707963267948966</v>
      </c>
      <c r="AW193" t="str">
        <f t="shared" si="166"/>
        <v>1+0,0250995302347611i</v>
      </c>
      <c r="AX193">
        <f t="shared" si="190"/>
        <v>1.0003149436142629</v>
      </c>
      <c r="AY193">
        <f t="shared" si="191"/>
        <v>2.5094261438464414E-2</v>
      </c>
      <c r="AZ193" t="str">
        <f t="shared" si="167"/>
        <v>1+1,16598726817845i</v>
      </c>
      <c r="BA193">
        <f t="shared" si="192"/>
        <v>1.5360749687284942</v>
      </c>
      <c r="BB193">
        <f t="shared" si="193"/>
        <v>0.86188221280379052</v>
      </c>
      <c r="BC193" s="41" t="str">
        <f t="shared" si="194"/>
        <v>-3,50829516851227+3,16505110627571i</v>
      </c>
      <c r="BD193">
        <f t="shared" si="195"/>
        <v>13.488047635718591</v>
      </c>
      <c r="BE193" s="43">
        <f t="shared" si="196"/>
        <v>137.94441796063143</v>
      </c>
      <c r="BF193" s="41" t="str">
        <f t="shared" si="197"/>
        <v>9,68118970766897+13,1861252484397i</v>
      </c>
      <c r="BG193" s="20">
        <f t="shared" si="198"/>
        <v>24.274850269666658</v>
      </c>
      <c r="BH193" s="43">
        <f t="shared" si="199"/>
        <v>53.714063768453592</v>
      </c>
      <c r="BI193" s="41" t="str">
        <f t="shared" si="203"/>
        <v>30,1294298588367+42,1009947347529i</v>
      </c>
      <c r="BJ193" s="20">
        <f t="shared" si="200"/>
        <v>34.281795663920448</v>
      </c>
      <c r="BK193" s="43">
        <f t="shared" si="204"/>
        <v>54.410728149599002</v>
      </c>
      <c r="BL193">
        <f t="shared" si="201"/>
        <v>24.274850269666658</v>
      </c>
      <c r="BM193" s="43">
        <f t="shared" si="202"/>
        <v>53.714063768453592</v>
      </c>
    </row>
    <row r="194" spans="14:65" x14ac:dyDescent="0.25">
      <c r="N194" s="9">
        <v>76</v>
      </c>
      <c r="O194" s="34">
        <f t="shared" si="205"/>
        <v>575.43993733715706</v>
      </c>
      <c r="P194" s="33" t="str">
        <f t="shared" si="155"/>
        <v>54,631621870174</v>
      </c>
      <c r="Q194" s="4" t="str">
        <f t="shared" si="156"/>
        <v>1+16,1396584814761i</v>
      </c>
      <c r="R194" s="4">
        <f t="shared" si="168"/>
        <v>16.170608396058679</v>
      </c>
      <c r="S194" s="4">
        <f t="shared" si="169"/>
        <v>1.5089162508359988</v>
      </c>
      <c r="T194" s="4" t="str">
        <f t="shared" si="157"/>
        <v>1+0,0546678078827505i</v>
      </c>
      <c r="U194" s="4">
        <f t="shared" si="170"/>
        <v>1.0014931698312801</v>
      </c>
      <c r="V194" s="4">
        <f t="shared" si="171"/>
        <v>5.4613445819083867E-2</v>
      </c>
      <c r="W194" t="str">
        <f t="shared" si="158"/>
        <v>1-0,0143876806460407i</v>
      </c>
      <c r="X194" s="4">
        <f t="shared" si="172"/>
        <v>1.0001034973213385</v>
      </c>
      <c r="Y194" s="4">
        <f t="shared" si="173"/>
        <v>-1.4386687993684819E-2</v>
      </c>
      <c r="Z194" t="str">
        <f t="shared" si="159"/>
        <v>0,999998675475514+0,00197675095259167i</v>
      </c>
      <c r="AA194" s="4">
        <f t="shared" si="174"/>
        <v>1.0000006292483574</v>
      </c>
      <c r="AB194" s="4">
        <f t="shared" si="175"/>
        <v>1.9767509960986578E-3</v>
      </c>
      <c r="AC194" s="47" t="str">
        <f t="shared" si="176"/>
        <v>0,338258736547032-3,36689540605428i</v>
      </c>
      <c r="AD194" s="20">
        <f t="shared" si="177"/>
        <v>10.588207966390977</v>
      </c>
      <c r="AE194" s="43">
        <f t="shared" si="178"/>
        <v>-84.262968853940706</v>
      </c>
      <c r="AF194" t="str">
        <f t="shared" si="160"/>
        <v>171,265703090588</v>
      </c>
      <c r="AG194" t="str">
        <f t="shared" si="161"/>
        <v>1+15,9852016683904i</v>
      </c>
      <c r="AH194">
        <f t="shared" si="179"/>
        <v>16.01645005546208</v>
      </c>
      <c r="AI194">
        <f t="shared" si="180"/>
        <v>1.5083198826439874</v>
      </c>
      <c r="AJ194" t="str">
        <f t="shared" si="162"/>
        <v>1+0,0546678078827505i</v>
      </c>
      <c r="AK194">
        <f t="shared" si="181"/>
        <v>1.0014931698312801</v>
      </c>
      <c r="AL194">
        <f t="shared" si="182"/>
        <v>5.4613445819083867E-2</v>
      </c>
      <c r="AM194" t="str">
        <f t="shared" si="163"/>
        <v>1-0,00454556534233193i</v>
      </c>
      <c r="AN194">
        <f t="shared" si="183"/>
        <v>1.0000103310287756</v>
      </c>
      <c r="AO194">
        <f t="shared" si="184"/>
        <v>-4.545534035647429E-3</v>
      </c>
      <c r="AP194" s="41" t="str">
        <f t="shared" si="185"/>
        <v>1,20271613350477-10,6414388347388i</v>
      </c>
      <c r="AQ194">
        <f t="shared" si="186"/>
        <v>20.595132328661517</v>
      </c>
      <c r="AR194" s="43">
        <f t="shared" si="187"/>
        <v>-83.551683396943901</v>
      </c>
      <c r="AS194" t="str">
        <f t="shared" si="164"/>
        <v>-0,0000166666666666667</v>
      </c>
      <c r="AT194" t="str">
        <f t="shared" si="165"/>
        <v>5,54270829922331E-06i</v>
      </c>
      <c r="AU194">
        <f t="shared" si="188"/>
        <v>5.5427082992233101E-6</v>
      </c>
      <c r="AV194">
        <f t="shared" si="189"/>
        <v>1.5707963267948966</v>
      </c>
      <c r="AW194" t="str">
        <f t="shared" si="166"/>
        <v>1+0,0256841733987699i</v>
      </c>
      <c r="AX194">
        <f t="shared" si="190"/>
        <v>1.0003297840028449</v>
      </c>
      <c r="AY194">
        <f t="shared" si="191"/>
        <v>2.5678527882340228E-2</v>
      </c>
      <c r="AZ194" t="str">
        <f t="shared" si="167"/>
        <v>1+1,19314660061559i</v>
      </c>
      <c r="BA194">
        <f t="shared" si="192"/>
        <v>1.5567911904171794</v>
      </c>
      <c r="BB194">
        <f t="shared" si="193"/>
        <v>0.87323978877507447</v>
      </c>
      <c r="BC194" s="41" t="str">
        <f t="shared" si="194"/>
        <v>-3,50819107468604+3,09705858653726i</v>
      </c>
      <c r="BD194">
        <f t="shared" si="195"/>
        <v>13.404277839688897</v>
      </c>
      <c r="BE194" s="43">
        <f t="shared" si="196"/>
        <v>138.56168312794017</v>
      </c>
      <c r="BF194" s="41" t="str">
        <f t="shared" si="197"/>
        <v>9,24079604680439+12,8593195374153i</v>
      </c>
      <c r="BG194" s="20">
        <f t="shared" si="198"/>
        <v>23.99248580607988</v>
      </c>
      <c r="BH194" s="43">
        <f t="shared" si="199"/>
        <v>54.298714273999494</v>
      </c>
      <c r="BI194" s="41" t="str">
        <f t="shared" si="203"/>
        <v>28,7378015112965+41,0570830702859i</v>
      </c>
      <c r="BJ194" s="20">
        <f t="shared" si="200"/>
        <v>33.999410168350408</v>
      </c>
      <c r="BK194" s="43">
        <f t="shared" si="204"/>
        <v>55.009999730996277</v>
      </c>
      <c r="BL194">
        <f t="shared" si="201"/>
        <v>23.99248580607988</v>
      </c>
      <c r="BM194" s="43">
        <f t="shared" si="202"/>
        <v>54.298714273999494</v>
      </c>
    </row>
    <row r="195" spans="14:65" x14ac:dyDescent="0.25">
      <c r="N195" s="9">
        <v>77</v>
      </c>
      <c r="O195" s="34">
        <f t="shared" si="205"/>
        <v>588.84365535558959</v>
      </c>
      <c r="P195" s="33" t="str">
        <f t="shared" si="155"/>
        <v>54,631621870174</v>
      </c>
      <c r="Q195" s="4" t="str">
        <f t="shared" si="156"/>
        <v>1+16,5155994218991i</v>
      </c>
      <c r="R195" s="4">
        <f t="shared" si="168"/>
        <v>16.545846133233379</v>
      </c>
      <c r="S195" s="4">
        <f t="shared" si="169"/>
        <v>1.5103213417490571</v>
      </c>
      <c r="T195" s="4" t="str">
        <f t="shared" si="157"/>
        <v>1+0,0559411847097692i</v>
      </c>
      <c r="U195" s="4">
        <f t="shared" si="170"/>
        <v>1.0015634858293969</v>
      </c>
      <c r="V195" s="4">
        <f t="shared" si="171"/>
        <v>5.5882939619028342E-2</v>
      </c>
      <c r="W195" t="str">
        <f t="shared" si="158"/>
        <v>1-0,0147228127802668i</v>
      </c>
      <c r="X195" s="4">
        <f t="shared" si="172"/>
        <v>1.0001083747355397</v>
      </c>
      <c r="Y195" s="4">
        <f t="shared" si="173"/>
        <v>-1.4721749140329043E-2</v>
      </c>
      <c r="Z195" t="str">
        <f t="shared" si="159"/>
        <v>0,999998613052598+0,00202279539727136i</v>
      </c>
      <c r="AA195" s="4">
        <f t="shared" si="174"/>
        <v>1.0000006589039523</v>
      </c>
      <c r="AB195" s="4">
        <f t="shared" si="175"/>
        <v>2.0227954438899014E-3</v>
      </c>
      <c r="AC195" s="47" t="str">
        <f t="shared" si="176"/>
        <v>0,328911890801021-3,29095607851866i</v>
      </c>
      <c r="AD195" s="20">
        <f t="shared" si="177"/>
        <v>10.389607465992119</v>
      </c>
      <c r="AE195" s="43">
        <f t="shared" si="178"/>
        <v>-84.292573738346292</v>
      </c>
      <c r="AF195" t="str">
        <f t="shared" si="160"/>
        <v>171,265703090588</v>
      </c>
      <c r="AG195" t="str">
        <f t="shared" si="161"/>
        <v>1+16,3575448474585i</v>
      </c>
      <c r="AH195">
        <f t="shared" si="179"/>
        <v>16.388083275252665</v>
      </c>
      <c r="AI195">
        <f t="shared" si="180"/>
        <v>1.5097384472578692</v>
      </c>
      <c r="AJ195" t="str">
        <f t="shared" si="162"/>
        <v>1+0,0559411847097692i</v>
      </c>
      <c r="AK195">
        <f t="shared" si="181"/>
        <v>1.0015634858293969</v>
      </c>
      <c r="AL195">
        <f t="shared" si="182"/>
        <v>5.5882939619028342E-2</v>
      </c>
      <c r="AM195" t="str">
        <f t="shared" si="163"/>
        <v>1-0,00465144516076253i</v>
      </c>
      <c r="AN195">
        <f t="shared" si="183"/>
        <v>1.0000108179125282</v>
      </c>
      <c r="AO195">
        <f t="shared" si="184"/>
        <v>-4.6514116150653036E-3</v>
      </c>
      <c r="AP195" s="41" t="str">
        <f t="shared" si="185"/>
        <v>1,1728734729877-10,401157129597i</v>
      </c>
      <c r="AQ195">
        <f t="shared" si="186"/>
        <v>20.396508415913747</v>
      </c>
      <c r="AR195" s="43">
        <f t="shared" si="187"/>
        <v>-83.566290863876802</v>
      </c>
      <c r="AS195" t="str">
        <f t="shared" si="164"/>
        <v>-0,0000166666666666667</v>
      </c>
      <c r="AT195" t="str">
        <f t="shared" si="165"/>
        <v>0,0000056718145608516i</v>
      </c>
      <c r="AU195">
        <f t="shared" si="188"/>
        <v>5.6718145608516001E-6</v>
      </c>
      <c r="AV195">
        <f t="shared" si="189"/>
        <v>1.5707963267948966</v>
      </c>
      <c r="AW195" t="str">
        <f t="shared" si="166"/>
        <v>1+0,026282434651485i</v>
      </c>
      <c r="AX195">
        <f t="shared" si="190"/>
        <v>1.0003453235614237</v>
      </c>
      <c r="AY195">
        <f t="shared" si="191"/>
        <v>2.6276385484420271E-2</v>
      </c>
      <c r="AZ195" t="str">
        <f t="shared" si="167"/>
        <v>1+1,22093855517353i</v>
      </c>
      <c r="BA195">
        <f t="shared" si="192"/>
        <v>1.5781923062508025</v>
      </c>
      <c r="BB195">
        <f t="shared" si="193"/>
        <v>0.88455175411948295</v>
      </c>
      <c r="BC195" s="41" t="str">
        <f t="shared" si="194"/>
        <v>-3,50808208168931+3,03070791636064i</v>
      </c>
      <c r="BD195">
        <f t="shared" si="195"/>
        <v>13.322734040476373</v>
      </c>
      <c r="BE195" s="43">
        <f t="shared" si="196"/>
        <v>139.17555628282415</v>
      </c>
      <c r="BF195" s="41" t="str">
        <f t="shared" si="197"/>
        <v>8,82007672898806+12,5417799219136i</v>
      </c>
      <c r="BG195" s="20">
        <f t="shared" si="198"/>
        <v>23.712341506468483</v>
      </c>
      <c r="BH195" s="43">
        <f t="shared" si="199"/>
        <v>54.882982544477791</v>
      </c>
      <c r="BI195" s="41" t="str">
        <f t="shared" si="203"/>
        <v>27,4083328373037+40,0427498746475i</v>
      </c>
      <c r="BJ195" s="20">
        <f t="shared" si="200"/>
        <v>33.719242456390134</v>
      </c>
      <c r="BK195" s="43">
        <f t="shared" si="204"/>
        <v>55.609265418947331</v>
      </c>
      <c r="BL195">
        <f t="shared" si="201"/>
        <v>23.712341506468483</v>
      </c>
      <c r="BM195" s="43">
        <f t="shared" si="202"/>
        <v>54.882982544477791</v>
      </c>
    </row>
    <row r="196" spans="14:65" x14ac:dyDescent="0.25">
      <c r="N196" s="9">
        <v>78</v>
      </c>
      <c r="O196" s="34">
        <f t="shared" si="205"/>
        <v>602.55958607435832</v>
      </c>
      <c r="P196" s="33" t="str">
        <f t="shared" si="155"/>
        <v>54,631621870174</v>
      </c>
      <c r="Q196" s="4" t="str">
        <f t="shared" si="156"/>
        <v>1+16,9002971517454i</v>
      </c>
      <c r="R196" s="4">
        <f t="shared" si="168"/>
        <v>16.929856579938701</v>
      </c>
      <c r="S196" s="4">
        <f t="shared" si="169"/>
        <v>1.5116946799469442</v>
      </c>
      <c r="T196" s="4" t="str">
        <f t="shared" si="157"/>
        <v>1+0,05724422229339i</v>
      </c>
      <c r="U196" s="4">
        <f t="shared" si="170"/>
        <v>1.0016371104277113</v>
      </c>
      <c r="V196" s="4">
        <f t="shared" si="171"/>
        <v>5.7181817062149642E-2</v>
      </c>
      <c r="W196" t="str">
        <f t="shared" si="158"/>
        <v>1-0,0150657511447086i</v>
      </c>
      <c r="X196" s="4">
        <f t="shared" si="172"/>
        <v>1.0001134819896962</v>
      </c>
      <c r="Y196" s="4">
        <f t="shared" si="173"/>
        <v>-1.5064611440965891E-2</v>
      </c>
      <c r="Z196" t="str">
        <f t="shared" si="159"/>
        <v>0,999998547687781+0,00206991235484554i</v>
      </c>
      <c r="AA196" s="4">
        <f t="shared" si="174"/>
        <v>1.0000006899571761</v>
      </c>
      <c r="AB196" s="4">
        <f t="shared" si="175"/>
        <v>2.0699124047981652E-3</v>
      </c>
      <c r="AC196" s="47" t="str">
        <f t="shared" si="176"/>
        <v>0,319982693541486-3,21671088210649i</v>
      </c>
      <c r="AD196" s="20">
        <f t="shared" si="177"/>
        <v>10.191004071649525</v>
      </c>
      <c r="AE196" s="43">
        <f t="shared" si="178"/>
        <v>-84.31918419111787</v>
      </c>
      <c r="AF196" t="str">
        <f t="shared" si="160"/>
        <v>171,265703090588</v>
      </c>
      <c r="AG196" t="str">
        <f t="shared" si="161"/>
        <v>1+16,7385610133225i</v>
      </c>
      <c r="AH196">
        <f t="shared" si="179"/>
        <v>16.768405553203916</v>
      </c>
      <c r="AI196">
        <f t="shared" si="180"/>
        <v>1.5111249591866855</v>
      </c>
      <c r="AJ196" t="str">
        <f t="shared" si="162"/>
        <v>1+0,05724422229339i</v>
      </c>
      <c r="AK196">
        <f t="shared" si="181"/>
        <v>1.0016371104277113</v>
      </c>
      <c r="AL196">
        <f t="shared" si="182"/>
        <v>5.7181817062149642E-2</v>
      </c>
      <c r="AM196" t="str">
        <f t="shared" si="163"/>
        <v>1-0,00475979123698652i</v>
      </c>
      <c r="AN196">
        <f t="shared" si="183"/>
        <v>1.000011327742151</v>
      </c>
      <c r="AO196">
        <f t="shared" si="184"/>
        <v>-4.7597552921463246E-3</v>
      </c>
      <c r="AP196" s="41" t="str">
        <f t="shared" si="185"/>
        <v>1,14436417470052-10,1662265735006i</v>
      </c>
      <c r="AQ196">
        <f t="shared" si="186"/>
        <v>20.197879178559674</v>
      </c>
      <c r="AR196" s="43">
        <f t="shared" si="187"/>
        <v>-83.577519585480545</v>
      </c>
      <c r="AS196" t="str">
        <f t="shared" si="164"/>
        <v>-0,0000166666666666667</v>
      </c>
      <c r="AT196" t="str">
        <f t="shared" si="165"/>
        <v>5,80392809363538E-06i</v>
      </c>
      <c r="AU196">
        <f t="shared" si="188"/>
        <v>5.8039280936353804E-6</v>
      </c>
      <c r="AV196">
        <f t="shared" si="189"/>
        <v>1.5707963267948966</v>
      </c>
      <c r="AW196" t="str">
        <f t="shared" si="166"/>
        <v>1+0,0268946311989415i</v>
      </c>
      <c r="AX196">
        <f t="shared" si="190"/>
        <v>1.0003615952181126</v>
      </c>
      <c r="AY196">
        <f t="shared" si="191"/>
        <v>2.6888149526183944E-2</v>
      </c>
      <c r="AZ196" t="str">
        <f t="shared" si="167"/>
        <v>1+1,24937786751446i</v>
      </c>
      <c r="BA196">
        <f t="shared" si="192"/>
        <v>1.6002953026972802</v>
      </c>
      <c r="BB196">
        <f t="shared" si="193"/>
        <v>0.89581252746503059</v>
      </c>
      <c r="BC196" s="41" t="str">
        <f t="shared" si="194"/>
        <v>-3,50796795926937+2,96596389775209i</v>
      </c>
      <c r="BD196">
        <f t="shared" si="195"/>
        <v>13.243396928975022</v>
      </c>
      <c r="BE196" s="43">
        <f t="shared" si="196"/>
        <v>139.78569957192633</v>
      </c>
      <c r="BF196" s="41" t="str">
        <f t="shared" si="197"/>
        <v>8,41815930936989+12,2331758256122i</v>
      </c>
      <c r="BG196" s="20">
        <f t="shared" si="198"/>
        <v>23.434401000624554</v>
      </c>
      <c r="BH196" s="43">
        <f t="shared" si="199"/>
        <v>55.466515380808453</v>
      </c>
      <c r="BI196" s="41" t="str">
        <f t="shared" si="203"/>
        <v>26,1382681347856+39,0569399145555i</v>
      </c>
      <c r="BJ196" s="20">
        <f t="shared" si="200"/>
        <v>33.441276107534691</v>
      </c>
      <c r="BK196" s="43">
        <f t="shared" si="204"/>
        <v>56.208179986445714</v>
      </c>
      <c r="BL196">
        <f t="shared" si="201"/>
        <v>23.434401000624554</v>
      </c>
      <c r="BM196" s="43">
        <f t="shared" si="202"/>
        <v>55.466515380808453</v>
      </c>
    </row>
    <row r="197" spans="14:65" x14ac:dyDescent="0.25">
      <c r="N197" s="9">
        <v>79</v>
      </c>
      <c r="O197" s="34">
        <f t="shared" si="205"/>
        <v>616.59500186148273</v>
      </c>
      <c r="P197" s="33" t="str">
        <f t="shared" si="155"/>
        <v>54,631621870174</v>
      </c>
      <c r="Q197" s="4" t="str">
        <f t="shared" si="156"/>
        <v>1+17,2939556428435i</v>
      </c>
      <c r="R197" s="4">
        <f t="shared" si="168"/>
        <v>17.322843351385433</v>
      </c>
      <c r="S197" s="4">
        <f t="shared" si="169"/>
        <v>1.5130369728584807</v>
      </c>
      <c r="T197" s="4" t="str">
        <f t="shared" si="157"/>
        <v>1+0,0585776115213878i</v>
      </c>
      <c r="U197" s="4">
        <f t="shared" si="170"/>
        <v>1.0017141990465896</v>
      </c>
      <c r="V197" s="4">
        <f t="shared" si="171"/>
        <v>5.8510749290029411E-2</v>
      </c>
      <c r="W197" t="str">
        <f t="shared" si="158"/>
        <v>1-0,0154166775698261i</v>
      </c>
      <c r="X197" s="4">
        <f t="shared" si="172"/>
        <v>1.0001188299133719</v>
      </c>
      <c r="Y197" s="4">
        <f t="shared" si="173"/>
        <v>-1.5415456363100068E-2</v>
      </c>
      <c r="Z197" t="str">
        <f t="shared" si="159"/>
        <v>0,999998479242415+0,0021181268073488i</v>
      </c>
      <c r="AA197" s="4">
        <f t="shared" si="174"/>
        <v>1.0000007224738963</v>
      </c>
      <c r="AB197" s="4">
        <f t="shared" si="175"/>
        <v>2.118126860873956E-3</v>
      </c>
      <c r="AC197" s="47" t="str">
        <f t="shared" si="176"/>
        <v>0,311452609355184-3,14412381680098i</v>
      </c>
      <c r="AD197" s="20">
        <f t="shared" si="177"/>
        <v>9.9924007165367144</v>
      </c>
      <c r="AE197" s="43">
        <f t="shared" si="178"/>
        <v>-84.342814120049383</v>
      </c>
      <c r="AF197" t="str">
        <f t="shared" si="160"/>
        <v>171,265703090588</v>
      </c>
      <c r="AG197" t="str">
        <f t="shared" si="161"/>
        <v>1+17,1284521857967i</v>
      </c>
      <c r="AH197">
        <f t="shared" si="179"/>
        <v>17.157618549237064</v>
      </c>
      <c r="AI197">
        <f t="shared" si="180"/>
        <v>1.5124801322417536</v>
      </c>
      <c r="AJ197" t="str">
        <f t="shared" si="162"/>
        <v>1+0,0585776115213878i</v>
      </c>
      <c r="AK197">
        <f t="shared" si="181"/>
        <v>1.0017141990465896</v>
      </c>
      <c r="AL197">
        <f t="shared" si="182"/>
        <v>5.8510749290029411E-2</v>
      </c>
      <c r="AM197" t="str">
        <f t="shared" si="163"/>
        <v>1-0,00487066101752766i</v>
      </c>
      <c r="AN197">
        <f t="shared" si="183"/>
        <v>1.000011861599025</v>
      </c>
      <c r="AO197">
        <f t="shared" si="184"/>
        <v>-4.8706225019621409E-3</v>
      </c>
      <c r="AP197" s="41" t="str">
        <f t="shared" si="185"/>
        <v>1,11712908339276-9,9365334513607i</v>
      </c>
      <c r="AQ197">
        <f t="shared" si="186"/>
        <v>19.999247494386516</v>
      </c>
      <c r="AR197" s="43">
        <f t="shared" si="187"/>
        <v>-83.585375297338203</v>
      </c>
      <c r="AS197" t="str">
        <f t="shared" si="164"/>
        <v>-0,0000166666666666667</v>
      </c>
      <c r="AT197" t="str">
        <f t="shared" si="165"/>
        <v>5,93911894591848E-06i</v>
      </c>
      <c r="AU197">
        <f t="shared" si="188"/>
        <v>5.9391189459184802E-6</v>
      </c>
      <c r="AV197">
        <f t="shared" si="189"/>
        <v>1.5707963267948966</v>
      </c>
      <c r="AW197" t="str">
        <f t="shared" si="166"/>
        <v>1+0,0275210876358522i</v>
      </c>
      <c r="AX197">
        <f t="shared" si="190"/>
        <v>1.0003786334506852</v>
      </c>
      <c r="AY197">
        <f t="shared" si="191"/>
        <v>2.751414254032775E-2</v>
      </c>
      <c r="AZ197" t="str">
        <f t="shared" si="167"/>
        <v>1+1,27847961653823i</v>
      </c>
      <c r="BA197">
        <f t="shared" si="192"/>
        <v>1.6231174110038187</v>
      </c>
      <c r="BB197">
        <f t="shared" si="193"/>
        <v>0.90701665672382281</v>
      </c>
      <c r="BC197" s="41" t="str">
        <f t="shared" si="194"/>
        <v>-3,50784846638349+2,90279218330214i</v>
      </c>
      <c r="BD197">
        <f t="shared" si="195"/>
        <v>13.1662451102661</v>
      </c>
      <c r="BE197" s="43">
        <f t="shared" si="196"/>
        <v>140.3917821338591</v>
      </c>
      <c r="BF197" s="41" t="str">
        <f t="shared" si="197"/>
        <v>8,03420948066626+11,9331921087904i</v>
      </c>
      <c r="BG197" s="20">
        <f t="shared" si="198"/>
        <v>23.158645826802811</v>
      </c>
      <c r="BH197" s="43">
        <f t="shared" si="199"/>
        <v>56.048968013809692</v>
      </c>
      <c r="BI197" s="41" t="str">
        <f t="shared" si="203"/>
        <v>24,9249720897984+38,0986471995359i</v>
      </c>
      <c r="BJ197" s="20">
        <f t="shared" si="200"/>
        <v>33.165492604652627</v>
      </c>
      <c r="BK197" s="43">
        <f t="shared" si="204"/>
        <v>56.806406836520893</v>
      </c>
      <c r="BL197">
        <f t="shared" si="201"/>
        <v>23.158645826802811</v>
      </c>
      <c r="BM197" s="43">
        <f t="shared" si="202"/>
        <v>56.048968013809692</v>
      </c>
    </row>
    <row r="198" spans="14:65" x14ac:dyDescent="0.25">
      <c r="N198" s="9">
        <v>80</v>
      </c>
      <c r="O198" s="34">
        <f t="shared" si="205"/>
        <v>630.95734448019323</v>
      </c>
      <c r="P198" s="33" t="str">
        <f t="shared" si="155"/>
        <v>54,631621870174</v>
      </c>
      <c r="Q198" s="4" t="str">
        <f t="shared" si="156"/>
        <v>1+17,6967836181359i</v>
      </c>
      <c r="R198" s="4">
        <f t="shared" si="168"/>
        <v>17.725014821633383</v>
      </c>
      <c r="S198" s="4">
        <f t="shared" si="169"/>
        <v>1.5143489128263812</v>
      </c>
      <c r="T198" s="4" t="str">
        <f t="shared" si="157"/>
        <v>1+0,0599420593743804i</v>
      </c>
      <c r="U198" s="4">
        <f t="shared" si="170"/>
        <v>1.0017949143822011</v>
      </c>
      <c r="V198" s="4">
        <f t="shared" si="171"/>
        <v>5.9870422133702556E-2</v>
      </c>
      <c r="W198" t="str">
        <f t="shared" si="158"/>
        <v>1-0,0157757781214549i</v>
      </c>
      <c r="X198" s="4">
        <f t="shared" si="172"/>
        <v>1.0001244298462753</v>
      </c>
      <c r="Y198" s="4">
        <f t="shared" si="173"/>
        <v>-1.5774469583664866E-2</v>
      </c>
      <c r="Z198" t="str">
        <f t="shared" si="159"/>
        <v>0,999998407571318+0,00216746431872203i</v>
      </c>
      <c r="AA198" s="4">
        <f t="shared" si="174"/>
        <v>1.0000007565230862</v>
      </c>
      <c r="AB198" s="4">
        <f t="shared" si="175"/>
        <v>2.1674643760752161E-3</v>
      </c>
      <c r="AC198" s="47" t="str">
        <f t="shared" si="176"/>
        <v>0,303303914037376-3,07315953962834i</v>
      </c>
      <c r="AD198" s="20">
        <f t="shared" si="177"/>
        <v>9.7938003340791866</v>
      </c>
      <c r="AE198" s="43">
        <f t="shared" si="178"/>
        <v>-84.363476001444027</v>
      </c>
      <c r="AF198" t="str">
        <f t="shared" si="160"/>
        <v>171,265703090588</v>
      </c>
      <c r="AG198" t="str">
        <f t="shared" si="161"/>
        <v>1+17,5274250903417i</v>
      </c>
      <c r="AH198">
        <f t="shared" si="179"/>
        <v>17.555928636718132</v>
      </c>
      <c r="AI198">
        <f t="shared" si="180"/>
        <v>1.5138046650323724</v>
      </c>
      <c r="AJ198" t="str">
        <f t="shared" si="162"/>
        <v>1+0,0599420593743804i</v>
      </c>
      <c r="AK198">
        <f t="shared" si="181"/>
        <v>1.0017949143822011</v>
      </c>
      <c r="AL198">
        <f t="shared" si="182"/>
        <v>5.9870422133702556E-2</v>
      </c>
      <c r="AM198" t="str">
        <f t="shared" si="163"/>
        <v>1-0,00498411328701109i</v>
      </c>
      <c r="AN198">
        <f t="shared" si="183"/>
        <v>1.000012420615493</v>
      </c>
      <c r="AO198">
        <f t="shared" si="184"/>
        <v>-4.9840720168667692E-3</v>
      </c>
      <c r="AP198" s="41" t="str">
        <f t="shared" si="185"/>
        <v>1,09111163150231-9,71196610928937i</v>
      </c>
      <c r="AQ198">
        <f t="shared" si="186"/>
        <v>19.800616236221128</v>
      </c>
      <c r="AR198" s="43">
        <f t="shared" si="187"/>
        <v>-83.589862098998211</v>
      </c>
      <c r="AS198" t="str">
        <f t="shared" si="164"/>
        <v>-0,0000166666666666667</v>
      </c>
      <c r="AT198" t="str">
        <f t="shared" si="165"/>
        <v>6,07745879768023E-06i</v>
      </c>
      <c r="AU198">
        <f t="shared" si="188"/>
        <v>6.0774587976802303E-6</v>
      </c>
      <c r="AV198">
        <f t="shared" si="189"/>
        <v>1.5707963267948966</v>
      </c>
      <c r="AW198" t="str">
        <f t="shared" si="166"/>
        <v>1+0,028162136117712i</v>
      </c>
      <c r="AX198">
        <f t="shared" si="190"/>
        <v>1.0003964743593974</v>
      </c>
      <c r="AY198">
        <f t="shared" si="191"/>
        <v>2.8154694473060817E-2</v>
      </c>
      <c r="AZ198" t="str">
        <f t="shared" si="167"/>
        <v>1+1,30825923237735i</v>
      </c>
      <c r="BA198">
        <f t="shared" si="192"/>
        <v>1.6466761123853633</v>
      </c>
      <c r="BB198">
        <f t="shared" si="193"/>
        <v>0.91815883121314379</v>
      </c>
      <c r="BC198" s="41" t="str">
        <f t="shared" si="194"/>
        <v>-3,50772335069621+2,84115925788287i</v>
      </c>
      <c r="BD198">
        <f t="shared" si="195"/>
        <v>13.091255186556541</v>
      </c>
      <c r="BE198" s="43">
        <f t="shared" si="196"/>
        <v>140.99348078439093</v>
      </c>
      <c r="BF198" s="41" t="str">
        <f t="shared" si="197"/>
        <v>7,66742945533966+11,6415282008885i</v>
      </c>
      <c r="BG198" s="20">
        <f t="shared" si="198"/>
        <v>22.885055520635706</v>
      </c>
      <c r="BH198" s="43">
        <f t="shared" si="199"/>
        <v>56.630004782946791</v>
      </c>
      <c r="BI198" s="41" t="str">
        <f t="shared" si="203"/>
        <v>23,7659246756153+37,166912215951i</v>
      </c>
      <c r="BJ198" s="20">
        <f t="shared" si="200"/>
        <v>32.891871422777669</v>
      </c>
      <c r="BK198" s="43">
        <f t="shared" si="204"/>
        <v>57.403618685392686</v>
      </c>
      <c r="BL198">
        <f t="shared" si="201"/>
        <v>22.885055520635706</v>
      </c>
      <c r="BM198" s="43">
        <f t="shared" si="202"/>
        <v>56.630004782946791</v>
      </c>
    </row>
    <row r="199" spans="14:65" x14ac:dyDescent="0.25">
      <c r="N199" s="9">
        <v>81</v>
      </c>
      <c r="O199" s="34">
        <f t="shared" si="205"/>
        <v>645.65422903465594</v>
      </c>
      <c r="P199" s="33" t="str">
        <f t="shared" si="155"/>
        <v>54,631621870174</v>
      </c>
      <c r="Q199" s="4" t="str">
        <f t="shared" si="156"/>
        <v>1+18,1089946623473i</v>
      </c>
      <c r="R199" s="4">
        <f t="shared" si="168"/>
        <v>18.136584234108774</v>
      </c>
      <c r="S199" s="4">
        <f t="shared" si="169"/>
        <v>1.5156311773836131</v>
      </c>
      <c r="T199" s="4" t="str">
        <f t="shared" si="157"/>
        <v>1+0,0613382893006804i</v>
      </c>
      <c r="U199" s="4">
        <f t="shared" si="170"/>
        <v>1.0018794267447226</v>
      </c>
      <c r="V199" s="4">
        <f t="shared" si="171"/>
        <v>6.1261536389212945E-2</v>
      </c>
      <c r="W199" t="str">
        <f t="shared" si="158"/>
        <v>1-0,0161432431994608i</v>
      </c>
      <c r="X199" s="4">
        <f t="shared" si="172"/>
        <v>1.0001302936622793</v>
      </c>
      <c r="Y199" s="4">
        <f t="shared" si="173"/>
        <v>-1.614184108582244E-2</v>
      </c>
      <c r="Z199" t="str">
        <f t="shared" si="159"/>
        <v>0,999998332522466+0,00221795104836683i</v>
      </c>
      <c r="AA199" s="4">
        <f t="shared" si="174"/>
        <v>1.0000007921769689</v>
      </c>
      <c r="AB199" s="4">
        <f t="shared" si="175"/>
        <v>2.2179511098218193E-3</v>
      </c>
      <c r="AC199" s="47" t="str">
        <f t="shared" si="176"/>
        <v>0,295519660077543-3,00378336047079i</v>
      </c>
      <c r="AD199" s="20">
        <f t="shared" si="177"/>
        <v>9.5952058639328968</v>
      </c>
      <c r="AE199" s="43">
        <f t="shared" si="178"/>
        <v>-84.381180886483492</v>
      </c>
      <c r="AF199" t="str">
        <f t="shared" si="160"/>
        <v>171,265703090588</v>
      </c>
      <c r="AG199" t="str">
        <f t="shared" si="161"/>
        <v>1+17,9356912676726i</v>
      </c>
      <c r="AH199">
        <f t="shared" si="179"/>
        <v>17.963547011914635</v>
      </c>
      <c r="AI199">
        <f t="shared" si="180"/>
        <v>1.5150992412428974</v>
      </c>
      <c r="AJ199" t="str">
        <f t="shared" si="162"/>
        <v>1+0,0613382893006804i</v>
      </c>
      <c r="AK199">
        <f t="shared" si="181"/>
        <v>1.0018794267447226</v>
      </c>
      <c r="AL199">
        <f t="shared" si="182"/>
        <v>6.1261536389212945E-2</v>
      </c>
      <c r="AM199" t="str">
        <f t="shared" si="163"/>
        <v>1-0,00510020819933184i</v>
      </c>
      <c r="AN199">
        <f t="shared" si="183"/>
        <v>1.0000130059772605</v>
      </c>
      <c r="AO199">
        <f t="shared" si="184"/>
        <v>-5.1001639776065335E-3</v>
      </c>
      <c r="AP199" s="41" t="str">
        <f t="shared" si="185"/>
        <v>1,06625772919236-9,49241494227584i</v>
      </c>
      <c r="AQ199">
        <f t="shared" si="186"/>
        <v>19.601988277776051</v>
      </c>
      <c r="AR199" s="43">
        <f t="shared" si="187"/>
        <v>-83.590982455843857</v>
      </c>
      <c r="AS199" t="str">
        <f t="shared" si="164"/>
        <v>-0,0000166666666666667</v>
      </c>
      <c r="AT199" t="str">
        <f t="shared" si="165"/>
        <v>6,21902099854121E-06i</v>
      </c>
      <c r="AU199">
        <f t="shared" si="188"/>
        <v>6.2190209985412102E-6</v>
      </c>
      <c r="AV199">
        <f t="shared" si="189"/>
        <v>1.5707963267948966</v>
      </c>
      <c r="AW199" t="str">
        <f t="shared" si="166"/>
        <v>1+0,0288181165369114i</v>
      </c>
      <c r="AX199">
        <f t="shared" si="190"/>
        <v>1.0004151557432219</v>
      </c>
      <c r="AY199">
        <f t="shared" si="191"/>
        <v>2.8810142849710698E-2</v>
      </c>
      <c r="AZ199" t="str">
        <f t="shared" si="167"/>
        <v>1+1,33873250457834i</v>
      </c>
      <c r="BA199">
        <f t="shared" si="192"/>
        <v>1.6709891438350506</v>
      </c>
      <c r="BB199">
        <f t="shared" si="193"/>
        <v>0.92923389294047343</v>
      </c>
      <c r="BC199" s="41" t="str">
        <f t="shared" si="194"/>
        <v>-3,50759234805384+2,78103242077967i</v>
      </c>
      <c r="BD199">
        <f t="shared" si="195"/>
        <v>13.018401846560725</v>
      </c>
      <c r="BE199" s="43">
        <f t="shared" si="196"/>
        <v>141.59048065354318</v>
      </c>
      <c r="BF199" s="41" t="str">
        <f t="shared" si="197"/>
        <v>7,31705641208031+11,3578972860522i</v>
      </c>
      <c r="BG199" s="20">
        <f t="shared" si="198"/>
        <v>22.613607710493607</v>
      </c>
      <c r="BH199" s="43">
        <f t="shared" si="199"/>
        <v>57.20929976705964</v>
      </c>
      <c r="BI199" s="41" t="str">
        <f t="shared" si="203"/>
        <v>22,6587162539941+36,2608193298695i</v>
      </c>
      <c r="BJ199" s="20">
        <f t="shared" si="200"/>
        <v>32.620390124336765</v>
      </c>
      <c r="BK199" s="43">
        <f t="shared" si="204"/>
        <v>57.999498197699303</v>
      </c>
      <c r="BL199">
        <f t="shared" si="201"/>
        <v>22.613607710493607</v>
      </c>
      <c r="BM199" s="43">
        <f t="shared" si="202"/>
        <v>57.20929976705964</v>
      </c>
    </row>
    <row r="200" spans="14:65" x14ac:dyDescent="0.25">
      <c r="N200" s="9">
        <v>82</v>
      </c>
      <c r="O200" s="34">
        <f t="shared" si="205"/>
        <v>660.69344800759643</v>
      </c>
      <c r="P200" s="33" t="str">
        <f t="shared" si="155"/>
        <v>54,631621870174</v>
      </c>
      <c r="Q200" s="4" t="str">
        <f t="shared" si="156"/>
        <v>1+18,5308073352296i</v>
      </c>
      <c r="R200" s="4">
        <f t="shared" si="168"/>
        <v>18.557769814700233</v>
      </c>
      <c r="S200" s="4">
        <f t="shared" si="169"/>
        <v>1.5168844295278472</v>
      </c>
      <c r="T200" s="4" t="str">
        <f t="shared" si="157"/>
        <v>1+0,0627670415998758i</v>
      </c>
      <c r="U200" s="4">
        <f t="shared" si="170"/>
        <v>1.0019679144120337</v>
      </c>
      <c r="V200" s="4">
        <f t="shared" si="171"/>
        <v>6.2684808094926006E-2</v>
      </c>
      <c r="W200" t="str">
        <f t="shared" si="158"/>
        <v>1-0,0165192676386922i</v>
      </c>
      <c r="X200" s="4">
        <f t="shared" si="172"/>
        <v>1.0001364337945693</v>
      </c>
      <c r="Y200" s="4">
        <f t="shared" si="173"/>
        <v>-1.6517765257929411E-2</v>
      </c>
      <c r="Z200" t="str">
        <f t="shared" si="159"/>
        <v>0,999998253936671+0,00226961376501553i</v>
      </c>
      <c r="AA200" s="4">
        <f t="shared" si="174"/>
        <v>1.0000008295111724</v>
      </c>
      <c r="AB200" s="4">
        <f t="shared" si="175"/>
        <v>2.2696138308656712E-3</v>
      </c>
      <c r="AC200" s="47" t="str">
        <f t="shared" si="176"/>
        <v>0,288083643525389-2,93596123728376i</v>
      </c>
      <c r="AD200" s="20">
        <f t="shared" si="177"/>
        <v>9.3966202579750995</v>
      </c>
      <c r="AE200" s="43">
        <f t="shared" si="178"/>
        <v>-84.395938407528746</v>
      </c>
      <c r="AF200" t="str">
        <f t="shared" si="160"/>
        <v>171,265703090588</v>
      </c>
      <c r="AG200" t="str">
        <f t="shared" si="161"/>
        <v>1+18,3534671859205i</v>
      </c>
      <c r="AH200">
        <f t="shared" si="179"/>
        <v>18.380689806007297</v>
      </c>
      <c r="AI200">
        <f t="shared" si="180"/>
        <v>1.5163645299080166</v>
      </c>
      <c r="AJ200" t="str">
        <f t="shared" si="162"/>
        <v>1+0,0627670415998758i</v>
      </c>
      <c r="AK200">
        <f t="shared" si="181"/>
        <v>1.0019679144120337</v>
      </c>
      <c r="AL200">
        <f t="shared" si="182"/>
        <v>6.2684808094926006E-2</v>
      </c>
      <c r="AM200" t="str">
        <f t="shared" si="163"/>
        <v>1-0,00521900730954912i</v>
      </c>
      <c r="AN200">
        <f t="shared" si="183"/>
        <v>1.000013618925911</v>
      </c>
      <c r="AO200">
        <f t="shared" si="184"/>
        <v>-5.2189599251515955E-3</v>
      </c>
      <c r="AP200" s="41" t="str">
        <f t="shared" si="185"/>
        <v>1,04251565877473-9,27777237991629i</v>
      </c>
      <c r="AQ200">
        <f t="shared" si="186"/>
        <v>19.403366499496901</v>
      </c>
      <c r="AR200" s="43">
        <f t="shared" si="187"/>
        <v>-83.588737200800807</v>
      </c>
      <c r="AS200" t="str">
        <f t="shared" si="164"/>
        <v>-0,0000166666666666667</v>
      </c>
      <c r="AT200" t="str">
        <f t="shared" si="165"/>
        <v>6,36388060665407E-06i</v>
      </c>
      <c r="AU200">
        <f t="shared" si="188"/>
        <v>6.3638806066540699E-6</v>
      </c>
      <c r="AV200">
        <f t="shared" si="189"/>
        <v>1.5707963267948966</v>
      </c>
      <c r="AW200" t="str">
        <f t="shared" si="166"/>
        <v>1+0,0294893767029516i</v>
      </c>
      <c r="AX200">
        <f t="shared" si="190"/>
        <v>1.000434717179651</v>
      </c>
      <c r="AY200">
        <f t="shared" si="191"/>
        <v>2.9480832943682336E-2</v>
      </c>
      <c r="AZ200" t="str">
        <f t="shared" si="167"/>
        <v>1+1,36991559047348i</v>
      </c>
      <c r="BA200">
        <f t="shared" si="192"/>
        <v>1.6960745045611363</v>
      </c>
      <c r="BB200">
        <f t="shared" si="193"/>
        <v>0.94023684700302124</v>
      </c>
      <c r="BC200" s="41" t="str">
        <f t="shared" si="194"/>
        <v>-3,50745518193444+2,72237976824819i</v>
      </c>
      <c r="BD200">
        <f t="shared" si="195"/>
        <v>12.947657960602132</v>
      </c>
      <c r="BE200" s="43">
        <f t="shared" si="196"/>
        <v>142.18247577175762</v>
      </c>
      <c r="BF200" s="41" t="str">
        <f t="shared" si="197"/>
        <v>6,98236100442855+11,0820255383663i</v>
      </c>
      <c r="BG200" s="20">
        <f t="shared" si="198"/>
        <v>22.344278218577223</v>
      </c>
      <c r="BH200" s="43">
        <f t="shared" si="199"/>
        <v>57.786537364228856</v>
      </c>
      <c r="BI200" s="41" t="str">
        <f t="shared" si="203"/>
        <v>21,6010428718787+35,3794943482759i</v>
      </c>
      <c r="BJ200" s="20">
        <f t="shared" si="200"/>
        <v>32.351024460099033</v>
      </c>
      <c r="BK200" s="43">
        <f t="shared" si="204"/>
        <v>58.593738570956894</v>
      </c>
      <c r="BL200">
        <f t="shared" si="201"/>
        <v>22.344278218577223</v>
      </c>
      <c r="BM200" s="43">
        <f t="shared" si="202"/>
        <v>57.786537364228856</v>
      </c>
    </row>
    <row r="201" spans="14:65" x14ac:dyDescent="0.25">
      <c r="N201" s="9">
        <v>83</v>
      </c>
      <c r="O201" s="34">
        <f t="shared" si="205"/>
        <v>676.08297539198213</v>
      </c>
      <c r="P201" s="33" t="str">
        <f t="shared" si="155"/>
        <v>54,631621870174</v>
      </c>
      <c r="Q201" s="4" t="str">
        <f t="shared" si="156"/>
        <v>1+18,9624452874452i</v>
      </c>
      <c r="R201" s="4">
        <f t="shared" si="168"/>
        <v>18.988794887494905</v>
      </c>
      <c r="S201" s="4">
        <f t="shared" si="169"/>
        <v>1.5181093179937624</v>
      </c>
      <c r="T201" s="4" t="str">
        <f t="shared" si="157"/>
        <v>1+0,0642290738153475i</v>
      </c>
      <c r="U201" s="4">
        <f t="shared" si="170"/>
        <v>1.0020605639995905</v>
      </c>
      <c r="V201" s="4">
        <f t="shared" si="171"/>
        <v>6.4140968810323676E-2</v>
      </c>
      <c r="W201" t="str">
        <f t="shared" si="158"/>
        <v>1-0,016904050812284i</v>
      </c>
      <c r="X201" s="4">
        <f t="shared" si="172"/>
        <v>1.0001428632619762</v>
      </c>
      <c r="Y201" s="4">
        <f t="shared" si="173"/>
        <v>-1.6902440994712085E-2</v>
      </c>
      <c r="Z201" t="str">
        <f t="shared" si="159"/>
        <v>0,999998171647242+0,00232247986092433i</v>
      </c>
      <c r="AA201" s="4">
        <f t="shared" si="174"/>
        <v>1.0000008686048885</v>
      </c>
      <c r="AB201" s="4">
        <f t="shared" si="175"/>
        <v>2.3224799314839539E-3</v>
      </c>
      <c r="AC201" s="47" t="str">
        <f t="shared" si="176"/>
        <v>0,280980372189858-2,86965977077466i</v>
      </c>
      <c r="AD201" s="20">
        <f t="shared" si="177"/>
        <v>9.1980464863188374</v>
      </c>
      <c r="AE201" s="43">
        <f t="shared" si="178"/>
        <v>-84.407756784358369</v>
      </c>
      <c r="AF201" t="str">
        <f t="shared" si="160"/>
        <v>171,265703090588</v>
      </c>
      <c r="AG201" t="str">
        <f t="shared" si="161"/>
        <v>1+18,7809743554072i</v>
      </c>
      <c r="AH201">
        <f t="shared" si="179"/>
        <v>18.807578199716808</v>
      </c>
      <c r="AI201">
        <f t="shared" si="180"/>
        <v>1.5176011856859828</v>
      </c>
      <c r="AJ201" t="str">
        <f t="shared" si="162"/>
        <v>1+0,0642290738153475i</v>
      </c>
      <c r="AK201">
        <f t="shared" si="181"/>
        <v>1.0020605639995905</v>
      </c>
      <c r="AL201">
        <f t="shared" si="182"/>
        <v>6.4140968810323676E-2</v>
      </c>
      <c r="AM201" t="str">
        <f t="shared" si="163"/>
        <v>1-0,00534057360652365i</v>
      </c>
      <c r="AN201">
        <f t="shared" si="183"/>
        <v>1.0000142607615388</v>
      </c>
      <c r="AO201">
        <f t="shared" si="184"/>
        <v>-5.3405228332660407E-3</v>
      </c>
      <c r="AP201" s="41" t="str">
        <f t="shared" si="185"/>
        <v>1,01983597337068-9,06793287038205i</v>
      </c>
      <c r="AQ201">
        <f t="shared" si="186"/>
        <v>19.204753794421539</v>
      </c>
      <c r="AR201" s="43">
        <f t="shared" si="187"/>
        <v>-83.583125535883966</v>
      </c>
      <c r="AS201" t="str">
        <f t="shared" si="164"/>
        <v>-0,0000166666666666667</v>
      </c>
      <c r="AT201" t="str">
        <f t="shared" si="165"/>
        <v>6,51211442850051E-06i</v>
      </c>
      <c r="AU201">
        <f t="shared" si="188"/>
        <v>6.5121144285005102E-6</v>
      </c>
      <c r="AV201">
        <f t="shared" si="189"/>
        <v>1.5707963267948966</v>
      </c>
      <c r="AW201" t="str">
        <f t="shared" si="166"/>
        <v>1+0,0301762725268577i</v>
      </c>
      <c r="AX201">
        <f t="shared" si="190"/>
        <v>1.0004552001082383</v>
      </c>
      <c r="AY201">
        <f t="shared" si="191"/>
        <v>3.0167117948813455E-2</v>
      </c>
      <c r="AZ201" t="str">
        <f t="shared" si="167"/>
        <v>1+1,40182502374766i</v>
      </c>
      <c r="BA201">
        <f t="shared" si="192"/>
        <v>1.7219504630520379</v>
      </c>
      <c r="BB201">
        <f t="shared" si="193"/>
        <v>0.95116287106174735</v>
      </c>
      <c r="BC201" s="41" t="str">
        <f t="shared" si="194"/>
        <v>-3,50731156287269+2,66517017648606i</v>
      </c>
      <c r="BD201">
        <f t="shared" si="195"/>
        <v>12.878994680684084</v>
      </c>
      <c r="BE201" s="43">
        <f t="shared" si="196"/>
        <v>142.76916960284373</v>
      </c>
      <c r="BF201" s="41" t="str">
        <f t="shared" si="197"/>
        <v>6,66264592940869+10,8136514036869i</v>
      </c>
      <c r="BG201" s="20">
        <f t="shared" si="198"/>
        <v>22.077041167002911</v>
      </c>
      <c r="BH201" s="43">
        <f t="shared" si="199"/>
        <v>58.361412818485299</v>
      </c>
      <c r="BI201" s="41" t="str">
        <f t="shared" si="203"/>
        <v>20,5907017468834+34,5221022287795i</v>
      </c>
      <c r="BJ201" s="20">
        <f t="shared" si="200"/>
        <v>32.083748475105637</v>
      </c>
      <c r="BK201" s="43">
        <f t="shared" si="204"/>
        <v>59.186044066959738</v>
      </c>
      <c r="BL201">
        <f t="shared" si="201"/>
        <v>22.077041167002911</v>
      </c>
      <c r="BM201" s="43">
        <f t="shared" si="202"/>
        <v>58.361412818485299</v>
      </c>
    </row>
    <row r="202" spans="14:65" x14ac:dyDescent="0.25">
      <c r="N202" s="9">
        <v>84</v>
      </c>
      <c r="O202" s="34">
        <f t="shared" si="205"/>
        <v>691.83097091893671</v>
      </c>
      <c r="P202" s="33" t="str">
        <f t="shared" si="155"/>
        <v>54,631621870174</v>
      </c>
      <c r="Q202" s="4" t="str">
        <f t="shared" si="156"/>
        <v>1+19,4041373791499i</v>
      </c>
      <c r="R202" s="4">
        <f t="shared" si="168"/>
        <v>19.429887993216081</v>
      </c>
      <c r="S202" s="4">
        <f t="shared" si="169"/>
        <v>1.5193064775229927</v>
      </c>
      <c r="T202" s="4" t="str">
        <f t="shared" si="157"/>
        <v>1+0,0657251611359283i</v>
      </c>
      <c r="U202" s="4">
        <f t="shared" si="170"/>
        <v>1.0021575708471915</v>
      </c>
      <c r="V202" s="4">
        <f t="shared" si="171"/>
        <v>6.5630765895970514E-2</v>
      </c>
      <c r="W202" t="str">
        <f t="shared" si="158"/>
        <v>1-0,017297796737368i</v>
      </c>
      <c r="X202" s="4">
        <f t="shared" si="172"/>
        <v>1.0001495956965474</v>
      </c>
      <c r="Y202" s="4">
        <f t="shared" si="173"/>
        <v>-1.7296071800696127E-2</v>
      </c>
      <c r="Z202" t="str">
        <f t="shared" si="159"/>
        <v>0,999998085479631+0,00237657736639705i</v>
      </c>
      <c r="AA202" s="4">
        <f t="shared" si="174"/>
        <v>1.0000009095410394</v>
      </c>
      <c r="AB202" s="4">
        <f t="shared" si="175"/>
        <v>2.3765774420029672E-3</v>
      </c>
      <c r="AC202" s="47" t="str">
        <f t="shared" si="176"/>
        <v>0,274195035124711-2,80484619859614i</v>
      </c>
      <c r="AD202" s="20">
        <f t="shared" si="177"/>
        <v>8.999487543360841</v>
      </c>
      <c r="AE202" s="43">
        <f t="shared" si="178"/>
        <v>-84.416642830352799</v>
      </c>
      <c r="AF202" t="str">
        <f t="shared" si="160"/>
        <v>171,265703090588</v>
      </c>
      <c r="AG202" t="str">
        <f t="shared" si="161"/>
        <v>1+19,2184394460927i</v>
      </c>
      <c r="AH202">
        <f t="shared" si="179"/>
        <v>19.244438540605227</v>
      </c>
      <c r="AI202">
        <f t="shared" si="180"/>
        <v>1.5188098491295672</v>
      </c>
      <c r="AJ202" t="str">
        <f t="shared" si="162"/>
        <v>1+0,0657251611359283i</v>
      </c>
      <c r="AK202">
        <f t="shared" si="181"/>
        <v>1.0021575708471915</v>
      </c>
      <c r="AL202">
        <f t="shared" si="182"/>
        <v>6.5630765895970514E-2</v>
      </c>
      <c r="AM202" t="str">
        <f t="shared" si="163"/>
        <v>1-0,0054649715463152i</v>
      </c>
      <c r="AN202">
        <f t="shared" si="183"/>
        <v>1.0000149328455061</v>
      </c>
      <c r="AO202">
        <f t="shared" si="184"/>
        <v>-5.4649171418333581E-3</v>
      </c>
      <c r="AP202" s="41" t="str">
        <f t="shared" si="185"/>
        <v>0,998171399662529-8,86279286279871i</v>
      </c>
      <c r="AQ202">
        <f t="shared" si="186"/>
        <v>19.006153074062123</v>
      </c>
      <c r="AR202" s="43">
        <f t="shared" si="187"/>
        <v>-83.574145033591023</v>
      </c>
      <c r="AS202" t="str">
        <f t="shared" si="164"/>
        <v>-0,0000166666666666667</v>
      </c>
      <c r="AT202" t="str">
        <f t="shared" si="165"/>
        <v>6,66380105961496E-06i</v>
      </c>
      <c r="AU202">
        <f t="shared" si="188"/>
        <v>6.6638010596149597E-6</v>
      </c>
      <c r="AV202">
        <f t="shared" si="189"/>
        <v>1.5707963267948966</v>
      </c>
      <c r="AW202" t="str">
        <f t="shared" si="166"/>
        <v>1+0,0308791682098877i</v>
      </c>
      <c r="AX202">
        <f t="shared" si="190"/>
        <v>1.0004766479180482</v>
      </c>
      <c r="AY202">
        <f t="shared" si="191"/>
        <v>3.086935915516725E-2</v>
      </c>
      <c r="AZ202" t="str">
        <f t="shared" si="167"/>
        <v>1+1,43447772320478i</v>
      </c>
      <c r="BA202">
        <f t="shared" si="192"/>
        <v>1.7486355647677907</v>
      </c>
      <c r="BB202">
        <f t="shared" si="193"/>
        <v>0.96200732385901333</v>
      </c>
      <c r="BC202" s="41" t="str">
        <f t="shared" si="194"/>
        <v>-3,50716118785856+2,60937328501044i</v>
      </c>
      <c r="BD202">
        <f t="shared" si="195"/>
        <v>12.812381544761697</v>
      </c>
      <c r="BE202" s="43">
        <f t="shared" si="196"/>
        <v>143.35027552193179</v>
      </c>
      <c r="BF202" s="41" t="str">
        <f t="shared" si="197"/>
        <v>6,35724455408695+10,5525249251659i</v>
      </c>
      <c r="BG202" s="20">
        <f t="shared" si="198"/>
        <v>21.811869088122524</v>
      </c>
      <c r="BH202" s="43">
        <f t="shared" si="199"/>
        <v>58.933632691578929</v>
      </c>
      <c r="BI202" s="41" t="str">
        <f t="shared" si="203"/>
        <v>19,6255869350413+33,6878449285784i</v>
      </c>
      <c r="BJ202" s="20">
        <f t="shared" si="200"/>
        <v>31.818534618823829</v>
      </c>
      <c r="BK202" s="43">
        <f t="shared" si="204"/>
        <v>59.776130488340748</v>
      </c>
      <c r="BL202">
        <f t="shared" si="201"/>
        <v>21.811869088122524</v>
      </c>
      <c r="BM202" s="43">
        <f t="shared" si="202"/>
        <v>58.933632691578929</v>
      </c>
    </row>
    <row r="203" spans="14:65" x14ac:dyDescent="0.25">
      <c r="N203" s="9">
        <v>85</v>
      </c>
      <c r="O203" s="34">
        <f t="shared" si="205"/>
        <v>707.94578438413873</v>
      </c>
      <c r="P203" s="33" t="str">
        <f t="shared" si="155"/>
        <v>54,631621870174</v>
      </c>
      <c r="Q203" s="4" t="str">
        <f t="shared" si="156"/>
        <v>1+19,8561178013372i</v>
      </c>
      <c r="R203" s="4">
        <f t="shared" si="168"/>
        <v>19.881283010424152</v>
      </c>
      <c r="S203" s="4">
        <f t="shared" si="169"/>
        <v>1.5204765291315143</v>
      </c>
      <c r="T203" s="4" t="str">
        <f t="shared" si="157"/>
        <v>1+0,0672560968069189i</v>
      </c>
      <c r="U203" s="4">
        <f t="shared" si="170"/>
        <v>1.0022591394233837</v>
      </c>
      <c r="V203" s="4">
        <f t="shared" si="171"/>
        <v>6.7154962794316334E-2</v>
      </c>
      <c r="W203" t="str">
        <f t="shared" si="158"/>
        <v>1-0,0177007141832456i</v>
      </c>
      <c r="X203" s="4">
        <f t="shared" si="172"/>
        <v>1.0001566453724122</v>
      </c>
      <c r="Y203" s="4">
        <f t="shared" si="173"/>
        <v>-1.7698865895935657E-2</v>
      </c>
      <c r="Z203" t="str">
        <f t="shared" si="159"/>
        <v>0,999997995251065+0,00243193496464716i</v>
      </c>
      <c r="AA203" s="4">
        <f t="shared" si="174"/>
        <v>1.0000009524064573</v>
      </c>
      <c r="AB203" s="4">
        <f t="shared" si="175"/>
        <v>2.4319350456602695E-3</v>
      </c>
      <c r="AC203" s="47" t="str">
        <f t="shared" si="176"/>
        <v>0,267713473355273-2,74148838910378i</v>
      </c>
      <c r="AD203" s="20">
        <f t="shared" si="177"/>
        <v>8.8009464538747846</v>
      </c>
      <c r="AE203" s="43">
        <f t="shared" si="178"/>
        <v>-84.422601958634957</v>
      </c>
      <c r="AF203" t="str">
        <f t="shared" si="160"/>
        <v>171,265703090588</v>
      </c>
      <c r="AG203" t="str">
        <f t="shared" si="161"/>
        <v>1+19,6660944077587i</v>
      </c>
      <c r="AH203">
        <f t="shared" si="179"/>
        <v>19.691502463115349</v>
      </c>
      <c r="AI203">
        <f t="shared" si="180"/>
        <v>1.5199911469545393</v>
      </c>
      <c r="AJ203" t="str">
        <f t="shared" si="162"/>
        <v>1+0,0672560968069189i</v>
      </c>
      <c r="AK203">
        <f t="shared" si="181"/>
        <v>1.0022591394233837</v>
      </c>
      <c r="AL203">
        <f t="shared" si="182"/>
        <v>6.7154962794316334E-2</v>
      </c>
      <c r="AM203" t="str">
        <f t="shared" si="163"/>
        <v>1-0,00559226708635807i</v>
      </c>
      <c r="AN203">
        <f t="shared" si="183"/>
        <v>1.0000156366033308</v>
      </c>
      <c r="AO203">
        <f t="shared" si="184"/>
        <v>-5.5922087909547153E-3</v>
      </c>
      <c r="AP203" s="41" t="str">
        <f t="shared" si="185"/>
        <v>0,977476744592529-8,66225078819522i</v>
      </c>
      <c r="AQ203">
        <f t="shared" si="186"/>
        <v>18.807567274319581</v>
      </c>
      <c r="AR203" s="43">
        <f t="shared" si="187"/>
        <v>-83.561791638149685</v>
      </c>
      <c r="AS203" t="str">
        <f t="shared" si="164"/>
        <v>-0,0000166666666666667</v>
      </c>
      <c r="AT203" t="str">
        <f t="shared" si="165"/>
        <v>6,81902092625705E-06i</v>
      </c>
      <c r="AU203">
        <f t="shared" si="188"/>
        <v>6.8190209262570501E-6</v>
      </c>
      <c r="AV203">
        <f t="shared" si="189"/>
        <v>1.5707963267948966</v>
      </c>
      <c r="AW203" t="str">
        <f t="shared" si="166"/>
        <v>1+0,0315984364366368i</v>
      </c>
      <c r="AX203">
        <f t="shared" si="190"/>
        <v>1.000499106039201</v>
      </c>
      <c r="AY203">
        <f t="shared" si="191"/>
        <v>3.1587926128300872E-2</v>
      </c>
      <c r="AZ203" t="str">
        <f t="shared" si="167"/>
        <v>1+1,46789100173831i</v>
      </c>
      <c r="BA203">
        <f t="shared" si="192"/>
        <v>1.7761486404533546</v>
      </c>
      <c r="BB203">
        <f t="shared" si="193"/>
        <v>0.97276575275831478</v>
      </c>
      <c r="BC203" s="41" t="str">
        <f t="shared" si="194"/>
        <v>-3,50700373970821+2,55495948043172i</v>
      </c>
      <c r="BD203">
        <f t="shared" si="195"/>
        <v>12.747786584437041</v>
      </c>
      <c r="BE203" s="43">
        <f t="shared" si="196"/>
        <v>143.92551723719532</v>
      </c>
      <c r="BF203" s="41" t="str">
        <f t="shared" si="197"/>
        <v>6,06551959800697+10,298407109742i</v>
      </c>
      <c r="BG203" s="20">
        <f t="shared" si="198"/>
        <v>21.548733038311852</v>
      </c>
      <c r="BH203" s="43">
        <f t="shared" si="199"/>
        <v>59.502915278560501</v>
      </c>
      <c r="BI203" s="41" t="str">
        <f t="shared" si="203"/>
        <v>18,7036851744127+32,8759593839892i</v>
      </c>
      <c r="BJ203" s="20">
        <f t="shared" si="200"/>
        <v>31.555353858756607</v>
      </c>
      <c r="BK203" s="43">
        <f t="shared" si="204"/>
        <v>60.363725599045623</v>
      </c>
      <c r="BL203">
        <f t="shared" si="201"/>
        <v>21.548733038311852</v>
      </c>
      <c r="BM203" s="43">
        <f t="shared" si="202"/>
        <v>59.502915278560501</v>
      </c>
    </row>
    <row r="204" spans="14:65" x14ac:dyDescent="0.25">
      <c r="N204" s="9">
        <v>86</v>
      </c>
      <c r="O204" s="34">
        <f t="shared" si="205"/>
        <v>724.43596007499025</v>
      </c>
      <c r="P204" s="33" t="str">
        <f t="shared" si="155"/>
        <v>54,631621870174</v>
      </c>
      <c r="Q204" s="4" t="str">
        <f t="shared" si="156"/>
        <v>1+20,3186262000095i</v>
      </c>
      <c r="R204" s="4">
        <f t="shared" si="168"/>
        <v>20.343219279546503</v>
      </c>
      <c r="S204" s="4">
        <f t="shared" si="169"/>
        <v>1.5216200803743027</v>
      </c>
      <c r="T204" s="4" t="str">
        <f t="shared" si="157"/>
        <v>1+0,0688226925506761i</v>
      </c>
      <c r="U204" s="4">
        <f t="shared" si="170"/>
        <v>1.0023654837482807</v>
      </c>
      <c r="V204" s="4">
        <f t="shared" si="171"/>
        <v>6.8714339310962949E-2</v>
      </c>
      <c r="W204" t="str">
        <f t="shared" si="158"/>
        <v>1-0,0181130167820797i</v>
      </c>
      <c r="X204" s="4">
        <f t="shared" si="172"/>
        <v>1.0001640272360068</v>
      </c>
      <c r="Y204" s="4">
        <f t="shared" si="173"/>
        <v>-1.8111036324087067E-2</v>
      </c>
      <c r="Z204" t="str">
        <f t="shared" si="159"/>
        <v>0,999997900770159+0,00248858200700598i</v>
      </c>
      <c r="AA204" s="4">
        <f t="shared" si="174"/>
        <v>1.000000997292068</v>
      </c>
      <c r="AB204" s="4">
        <f t="shared" si="175"/>
        <v>2.4885820938129861E-3</v>
      </c>
      <c r="AC204" s="47" t="str">
        <f t="shared" si="176"/>
        <v>0,261522151801795-2,679554834724i</v>
      </c>
      <c r="AD204" s="20">
        <f t="shared" si="177"/>
        <v>8.602426279159852</v>
      </c>
      <c r="AE204" s="43">
        <f t="shared" si="178"/>
        <v>-84.425638188182248</v>
      </c>
      <c r="AF204" t="str">
        <f t="shared" si="160"/>
        <v>171,265703090588</v>
      </c>
      <c r="AG204" t="str">
        <f t="shared" si="161"/>
        <v>1+20,1241765929912i</v>
      </c>
      <c r="AH204">
        <f t="shared" si="179"/>
        <v>20.149007011411133</v>
      </c>
      <c r="AI204">
        <f t="shared" si="180"/>
        <v>1.5211456923054836</v>
      </c>
      <c r="AJ204" t="str">
        <f t="shared" si="162"/>
        <v>1+0,0688226925506761i</v>
      </c>
      <c r="AK204">
        <f t="shared" si="181"/>
        <v>1.0023654837482807</v>
      </c>
      <c r="AL204">
        <f t="shared" si="182"/>
        <v>6.8714339310962949E-2</v>
      </c>
      <c r="AM204" t="str">
        <f t="shared" si="163"/>
        <v>1-0,00572252772043252i</v>
      </c>
      <c r="AN204">
        <f t="shared" si="183"/>
        <v>1.0000163735277094</v>
      </c>
      <c r="AO204">
        <f t="shared" si="184"/>
        <v>-5.722465255837657E-3</v>
      </c>
      <c r="AP204" s="41" t="str">
        <f t="shared" si="185"/>
        <v>0,957708805868295-8,46620703917261i</v>
      </c>
      <c r="AQ204">
        <f t="shared" si="186"/>
        <v>18.608999361441764</v>
      </c>
      <c r="AR204" s="43">
        <f t="shared" si="187"/>
        <v>-83.546059666631649</v>
      </c>
      <c r="AS204" t="str">
        <f t="shared" si="164"/>
        <v>-0,0000166666666666667</v>
      </c>
      <c r="AT204" t="str">
        <f t="shared" si="165"/>
        <v>6,97785632805465E-06i</v>
      </c>
      <c r="AU204">
        <f t="shared" si="188"/>
        <v>6.9778563280546503E-6</v>
      </c>
      <c r="AV204">
        <f t="shared" si="189"/>
        <v>1.5707963267948966</v>
      </c>
      <c r="AW204" t="str">
        <f t="shared" si="166"/>
        <v>1+0,0323344585726393i</v>
      </c>
      <c r="AX204">
        <f t="shared" si="190"/>
        <v>1.0005226220386951</v>
      </c>
      <c r="AY204">
        <f t="shared" si="191"/>
        <v>3.2323196892046796E-2</v>
      </c>
      <c r="AZ204" t="str">
        <f t="shared" si="167"/>
        <v>1+1,50208257551079i</v>
      </c>
      <c r="BA204">
        <f t="shared" si="192"/>
        <v>1.8045088150666175</v>
      </c>
      <c r="BB204">
        <f t="shared" si="193"/>
        <v>0.98343390029370836</v>
      </c>
      <c r="BC204" s="41" t="str">
        <f t="shared" si="194"/>
        <v>-3,50683888640621+2,50189988061406i</v>
      </c>
      <c r="BD204">
        <f t="shared" si="195"/>
        <v>12.685176435301353</v>
      </c>
      <c r="BE204" s="43">
        <f t="shared" si="196"/>
        <v>144.49462915463431</v>
      </c>
      <c r="BF204" s="41" t="str">
        <f t="shared" si="197"/>
        <v>5,78686186949964+10,0510693330387i</v>
      </c>
      <c r="BG204" s="20">
        <f t="shared" si="198"/>
        <v>21.287602714461187</v>
      </c>
      <c r="BH204" s="43">
        <f t="shared" si="199"/>
        <v>60.068990966451977</v>
      </c>
      <c r="BI204" s="41" t="str">
        <f t="shared" si="203"/>
        <v>17,8230718982873+32,0857156124014i</v>
      </c>
      <c r="BJ204" s="20">
        <f t="shared" si="200"/>
        <v>31.294175796743119</v>
      </c>
      <c r="BK204" s="43">
        <f t="shared" si="204"/>
        <v>60.948569488002612</v>
      </c>
      <c r="BL204">
        <f t="shared" si="201"/>
        <v>21.287602714461187</v>
      </c>
      <c r="BM204" s="43">
        <f t="shared" si="202"/>
        <v>60.068990966451977</v>
      </c>
    </row>
    <row r="205" spans="14:65" x14ac:dyDescent="0.25">
      <c r="N205" s="9">
        <v>87</v>
      </c>
      <c r="O205" s="34">
        <f t="shared" si="205"/>
        <v>741.31024130091828</v>
      </c>
      <c r="P205" s="33" t="str">
        <f t="shared" si="155"/>
        <v>54,631621870174</v>
      </c>
      <c r="Q205" s="4" t="str">
        <f t="shared" si="156"/>
        <v>1+20,7919078032418i</v>
      </c>
      <c r="R205" s="4">
        <f t="shared" si="168"/>
        <v>20.815941729801878</v>
      </c>
      <c r="S205" s="4">
        <f t="shared" si="169"/>
        <v>1.5227377256071073</v>
      </c>
      <c r="T205" s="4" t="str">
        <f t="shared" si="157"/>
        <v>1+0,0704257789969997i</v>
      </c>
      <c r="U205" s="4">
        <f t="shared" si="170"/>
        <v>1.0024768278356035</v>
      </c>
      <c r="V205" s="4">
        <f t="shared" si="171"/>
        <v>7.0309691895994869E-2</v>
      </c>
      <c r="W205" t="str">
        <f t="shared" si="158"/>
        <v>1-0,0185349231421659i</v>
      </c>
      <c r="X205" s="4">
        <f t="shared" si="172"/>
        <v>1.0001717569377202</v>
      </c>
      <c r="Y205" s="4">
        <f t="shared" si="173"/>
        <v>-1.8532801062875148E-2</v>
      </c>
      <c r="Z205" t="str">
        <f t="shared" si="159"/>
        <v>0,999997801836505+0,00254654852848519i</v>
      </c>
      <c r="AA205" s="4">
        <f t="shared" si="174"/>
        <v>1.0000010442930798</v>
      </c>
      <c r="AB205" s="4">
        <f t="shared" si="175"/>
        <v>2.5465486215004562E-3</v>
      </c>
      <c r="AC205" s="47" t="str">
        <f t="shared" si="176"/>
        <v>0,255608132356019-2,61901464497501i</v>
      </c>
      <c r="AD205" s="20">
        <f t="shared" si="177"/>
        <v>8.4039301232554742</v>
      </c>
      <c r="AE205" s="43">
        <f t="shared" si="178"/>
        <v>-84.425754149926746</v>
      </c>
      <c r="AF205" t="str">
        <f t="shared" si="160"/>
        <v>171,265703090588</v>
      </c>
      <c r="AG205" t="str">
        <f t="shared" si="161"/>
        <v>1+20,5929288830283i</v>
      </c>
      <c r="AH205">
        <f t="shared" si="179"/>
        <v>20.617194765085312</v>
      </c>
      <c r="AI205">
        <f t="shared" si="180"/>
        <v>1.5222740850187961</v>
      </c>
      <c r="AJ205" t="str">
        <f t="shared" si="162"/>
        <v>1+0,0704257789969997i</v>
      </c>
      <c r="AK205">
        <f t="shared" si="181"/>
        <v>1.0024768278356035</v>
      </c>
      <c r="AL205">
        <f t="shared" si="182"/>
        <v>7.0309691895994869E-2</v>
      </c>
      <c r="AM205" t="str">
        <f t="shared" si="163"/>
        <v>1-0,00585582251445096i</v>
      </c>
      <c r="AN205">
        <f t="shared" si="183"/>
        <v>1.0000171451816817</v>
      </c>
      <c r="AO205">
        <f t="shared" si="184"/>
        <v>-5.8557555824936477E-3</v>
      </c>
      <c r="AP205" s="41" t="str">
        <f t="shared" si="185"/>
        <v>0,938826286137247-8,27456394842951i</v>
      </c>
      <c r="AQ205">
        <f t="shared" si="186"/>
        <v>18.410452338034627</v>
      </c>
      <c r="AR205" s="43">
        <f t="shared" si="187"/>
        <v>-83.526941809947459</v>
      </c>
      <c r="AS205" t="str">
        <f t="shared" si="164"/>
        <v>-0,0000166666666666667</v>
      </c>
      <c r="AT205" t="str">
        <f t="shared" si="165"/>
        <v>7,14039148164025E-06i</v>
      </c>
      <c r="AU205">
        <f t="shared" si="188"/>
        <v>7.1403914816402504E-6</v>
      </c>
      <c r="AV205">
        <f t="shared" si="189"/>
        <v>1.5707963267948966</v>
      </c>
      <c r="AW205" t="str">
        <f t="shared" si="166"/>
        <v>1+0,0330876248665741i</v>
      </c>
      <c r="AX205">
        <f t="shared" si="190"/>
        <v>1.0005472457207161</v>
      </c>
      <c r="AY205">
        <f t="shared" si="191"/>
        <v>3.3075558114843216E-2</v>
      </c>
      <c r="AZ205" t="str">
        <f t="shared" si="167"/>
        <v>1+1,53707057334721i</v>
      </c>
      <c r="BA205">
        <f t="shared" si="192"/>
        <v>1.8337355173115673</v>
      </c>
      <c r="BB205">
        <f t="shared" si="193"/>
        <v>0.99400770972541563</v>
      </c>
      <c r="BC205" s="41" t="str">
        <f t="shared" si="194"/>
        <v>-3,50666628041792+2,45016631921406i</v>
      </c>
      <c r="BD205">
        <f t="shared" si="195"/>
        <v>12.624516449157895</v>
      </c>
      <c r="BE205" s="43">
        <f t="shared" si="196"/>
        <v>145.05735668571114</v>
      </c>
      <c r="BF205" s="41" t="str">
        <f t="shared" si="197"/>
        <v>5,52068905391268+9,8102927802705i</v>
      </c>
      <c r="BG205" s="20">
        <f t="shared" si="198"/>
        <v>21.028446572413365</v>
      </c>
      <c r="BH205" s="43">
        <f t="shared" si="199"/>
        <v>60.631602535784403</v>
      </c>
      <c r="BI205" s="41" t="str">
        <f t="shared" si="203"/>
        <v>16,9819074118574+31,3164149290058i</v>
      </c>
      <c r="BJ205" s="20">
        <f t="shared" si="200"/>
        <v>31.034968787192515</v>
      </c>
      <c r="BK205" s="43">
        <f t="shared" si="204"/>
        <v>61.530414875763682</v>
      </c>
      <c r="BL205">
        <f t="shared" si="201"/>
        <v>21.028446572413365</v>
      </c>
      <c r="BM205" s="43">
        <f t="shared" si="202"/>
        <v>60.631602535784403</v>
      </c>
    </row>
    <row r="206" spans="14:65" x14ac:dyDescent="0.25">
      <c r="N206" s="9">
        <v>88</v>
      </c>
      <c r="O206" s="34">
        <f t="shared" si="205"/>
        <v>758.57757502918378</v>
      </c>
      <c r="P206" s="33" t="str">
        <f t="shared" si="155"/>
        <v>54,631621870174</v>
      </c>
      <c r="Q206" s="4" t="str">
        <f t="shared" si="156"/>
        <v>1+21,2762135512049i</v>
      </c>
      <c r="R206" s="4">
        <f t="shared" si="168"/>
        <v>21.299701009086373</v>
      </c>
      <c r="S206" s="4">
        <f t="shared" si="169"/>
        <v>1.5238300462451966</v>
      </c>
      <c r="T206" s="4" t="str">
        <f t="shared" si="157"/>
        <v>1+0,0720662061235429i</v>
      </c>
      <c r="U206" s="4">
        <f t="shared" si="170"/>
        <v>1.0025934061547788</v>
      </c>
      <c r="V206" s="4">
        <f t="shared" si="171"/>
        <v>7.1941833924930323E-2</v>
      </c>
      <c r="W206" t="str">
        <f t="shared" si="158"/>
        <v>1-0,0189666569638407i</v>
      </c>
      <c r="X206" s="4">
        <f t="shared" si="172"/>
        <v>1.000179850865025</v>
      </c>
      <c r="Y206" s="4">
        <f t="shared" si="173"/>
        <v>-1.8964383136995999E-2</v>
      </c>
      <c r="Z206" t="str">
        <f t="shared" si="159"/>
        <v>0,999997698240251+0,00260586526370176i</v>
      </c>
      <c r="AA206" s="4">
        <f t="shared" si="174"/>
        <v>1.0000010935091883</v>
      </c>
      <c r="AB206" s="4">
        <f t="shared" si="175"/>
        <v>2.6058653633692832E-3</v>
      </c>
      <c r="AC206" s="47" t="str">
        <f t="shared" si="176"/>
        <v>0,249959048068521-2,55983753918066i</v>
      </c>
      <c r="AD206" s="20">
        <f t="shared" si="177"/>
        <v>8.2054611392334813</v>
      </c>
      <c r="AE206" s="43">
        <f t="shared" si="178"/>
        <v>-84.422951092864551</v>
      </c>
      <c r="AF206" t="str">
        <f t="shared" si="160"/>
        <v>171,265703090588</v>
      </c>
      <c r="AG206" t="str">
        <f t="shared" si="161"/>
        <v>1+21,0725998165388i</v>
      </c>
      <c r="AH206">
        <f t="shared" si="179"/>
        <v>21.096313967799947</v>
      </c>
      <c r="AI206">
        <f t="shared" si="180"/>
        <v>1.5233769118827098</v>
      </c>
      <c r="AJ206" t="str">
        <f t="shared" si="162"/>
        <v>1+0,0720662061235429i</v>
      </c>
      <c r="AK206">
        <f t="shared" si="181"/>
        <v>1.0025934061547788</v>
      </c>
      <c r="AL206">
        <f t="shared" si="182"/>
        <v>7.1941833924930323E-2</v>
      </c>
      <c r="AM206" t="str">
        <f t="shared" si="163"/>
        <v>1-0,00599222214307753i</v>
      </c>
      <c r="AN206">
        <f t="shared" si="183"/>
        <v>1.0000179532019473</v>
      </c>
      <c r="AO206">
        <f t="shared" si="184"/>
        <v>-5.9921504242626718E-3</v>
      </c>
      <c r="AP206" s="41" t="str">
        <f t="shared" si="185"/>
        <v>0,920789710696068-8,08722576627408i</v>
      </c>
      <c r="AQ206">
        <f t="shared" si="186"/>
        <v>18.211929249138102</v>
      </c>
      <c r="AR206" s="43">
        <f t="shared" si="187"/>
        <v>-83.504429133740146</v>
      </c>
      <c r="AS206" t="str">
        <f t="shared" si="164"/>
        <v>-0,0000166666666666667</v>
      </c>
      <c r="AT206" t="str">
        <f t="shared" si="165"/>
        <v>7,30671256530365E-06i</v>
      </c>
      <c r="AU206">
        <f t="shared" si="188"/>
        <v>7.3067125653036499E-6</v>
      </c>
      <c r="AV206">
        <f t="shared" si="189"/>
        <v>1.5707963267948966</v>
      </c>
      <c r="AW206" t="str">
        <f t="shared" si="166"/>
        <v>1+0,0338583346571797i</v>
      </c>
      <c r="AX206">
        <f t="shared" si="190"/>
        <v>1.0005730292316286</v>
      </c>
      <c r="AY206">
        <f t="shared" si="191"/>
        <v>3.3845405299644624E-2</v>
      </c>
      <c r="AZ206" t="str">
        <f t="shared" si="167"/>
        <v>1+1,57287354634717i</v>
      </c>
      <c r="BA206">
        <f t="shared" si="192"/>
        <v>1.8638484897648528</v>
      </c>
      <c r="BB206">
        <f t="shared" si="193"/>
        <v>1.0044833296065132</v>
      </c>
      <c r="BC206" s="41" t="str">
        <f t="shared" si="194"/>
        <v>-3,50648555797042+2,39973133058835i</v>
      </c>
      <c r="BD206">
        <f t="shared" si="195"/>
        <v>12.565770807374774</v>
      </c>
      <c r="BE206" s="43">
        <f t="shared" si="196"/>
        <v>145.61345649812228</v>
      </c>
      <c r="BF206" s="41" t="str">
        <f t="shared" si="197"/>
        <v>5,26644455185171+9,57586792090159i</v>
      </c>
      <c r="BG206" s="20">
        <f t="shared" si="198"/>
        <v>20.771231946608253</v>
      </c>
      <c r="BH206" s="43">
        <f t="shared" si="199"/>
        <v>61.190505405257703</v>
      </c>
      <c r="BI206" s="41" t="str">
        <f t="shared" si="203"/>
        <v>16,1784332263858+30,5673882711271i</v>
      </c>
      <c r="BJ206" s="20">
        <f t="shared" si="200"/>
        <v>30.777700056512888</v>
      </c>
      <c r="BK206" s="43">
        <f t="shared" si="204"/>
        <v>62.109027364382115</v>
      </c>
      <c r="BL206">
        <f t="shared" si="201"/>
        <v>20.771231946608253</v>
      </c>
      <c r="BM206" s="43">
        <f t="shared" si="202"/>
        <v>61.190505405257703</v>
      </c>
    </row>
    <row r="207" spans="14:65" x14ac:dyDescent="0.25">
      <c r="N207" s="9">
        <v>89</v>
      </c>
      <c r="O207" s="34">
        <f t="shared" si="205"/>
        <v>776.24711662869231</v>
      </c>
      <c r="P207" s="33" t="str">
        <f t="shared" si="155"/>
        <v>54,631621870174</v>
      </c>
      <c r="Q207" s="4" t="str">
        <f t="shared" si="156"/>
        <v>1+21,7718002292168i</v>
      </c>
      <c r="R207" s="4">
        <f t="shared" si="168"/>
        <v>21.794753616889654</v>
      </c>
      <c r="S207" s="4">
        <f t="shared" si="169"/>
        <v>1.5248976110189587</v>
      </c>
      <c r="T207" s="4" t="str">
        <f t="shared" si="157"/>
        <v>1+0,0737448437064819i</v>
      </c>
      <c r="U207" s="4">
        <f t="shared" si="170"/>
        <v>1.0027154641139697</v>
      </c>
      <c r="V207" s="4">
        <f t="shared" si="171"/>
        <v>7.3611595978814656E-2</v>
      </c>
      <c r="W207" t="str">
        <f t="shared" si="158"/>
        <v>1-0,0194084471580912i</v>
      </c>
      <c r="X207" s="4">
        <f t="shared" si="172"/>
        <v>1.0001883261771698</v>
      </c>
      <c r="Y207" s="4">
        <f t="shared" si="173"/>
        <v>-1.9406010733506816E-2</v>
      </c>
      <c r="Z207" t="str">
        <f t="shared" si="159"/>
        <v>0,999997589761656+0,00266656366317385i</v>
      </c>
      <c r="AA207" s="4">
        <f t="shared" si="174"/>
        <v>1.0000011450447899</v>
      </c>
      <c r="AB207" s="4">
        <f t="shared" si="175"/>
        <v>2.6665637699693793E-3</v>
      </c>
      <c r="AC207" s="47" t="str">
        <f t="shared" si="176"/>
        <v>0,244563078405593-2,50199383891401i</v>
      </c>
      <c r="AD207" s="20">
        <f t="shared" si="177"/>
        <v>8.0070225355784341</v>
      </c>
      <c r="AE207" s="43">
        <f t="shared" si="178"/>
        <v>-84.417228890197222</v>
      </c>
      <c r="AF207" t="str">
        <f t="shared" si="160"/>
        <v>171,265703090588</v>
      </c>
      <c r="AG207" t="str">
        <f t="shared" si="161"/>
        <v>1+21,5634437214008i</v>
      </c>
      <c r="AH207">
        <f t="shared" si="179"/>
        <v>21.586618658928955</v>
      </c>
      <c r="AI207">
        <f t="shared" si="180"/>
        <v>1.5244547468942224</v>
      </c>
      <c r="AJ207" t="str">
        <f t="shared" si="162"/>
        <v>1+0,0737448437064819i</v>
      </c>
      <c r="AK207">
        <f t="shared" si="181"/>
        <v>1.0027154641139697</v>
      </c>
      <c r="AL207">
        <f t="shared" si="182"/>
        <v>7.3611595978814656E-2</v>
      </c>
      <c r="AM207" t="str">
        <f t="shared" si="163"/>
        <v>1-0,0061317989272008i</v>
      </c>
      <c r="AN207">
        <f t="shared" si="183"/>
        <v>1.0000187993023348</v>
      </c>
      <c r="AO207">
        <f t="shared" si="184"/>
        <v>-6.1317220791841549E-3</v>
      </c>
      <c r="AP207" s="41" t="str">
        <f t="shared" si="185"/>
        <v>0,903561348604184-7,90409863724034i</v>
      </c>
      <c r="AQ207">
        <f t="shared" si="186"/>
        <v>18.013433188375888</v>
      </c>
      <c r="AR207" s="43">
        <f t="shared" si="187"/>
        <v>-83.478511079199265</v>
      </c>
      <c r="AS207" t="str">
        <f t="shared" si="164"/>
        <v>-0,0000166666666666667</v>
      </c>
      <c r="AT207" t="str">
        <f t="shared" si="165"/>
        <v>7,47690776468496E-06i</v>
      </c>
      <c r="AU207">
        <f t="shared" si="188"/>
        <v>7.4769077646849601E-6</v>
      </c>
      <c r="AV207">
        <f t="shared" si="189"/>
        <v>1.5707963267948966</v>
      </c>
      <c r="AW207" t="str">
        <f t="shared" si="166"/>
        <v>1+0,0346469965849886i</v>
      </c>
      <c r="AX207">
        <f t="shared" si="190"/>
        <v>1.0006000271698778</v>
      </c>
      <c r="AY207">
        <f t="shared" si="191"/>
        <v>3.4633142977442403E-2</v>
      </c>
      <c r="AZ207" t="str">
        <f t="shared" si="167"/>
        <v>1+1,60951047772083i</v>
      </c>
      <c r="BA207">
        <f t="shared" si="192"/>
        <v>1.8948677995821066</v>
      </c>
      <c r="BB207">
        <f t="shared" si="193"/>
        <v>1.0148571173736038</v>
      </c>
      <c r="BC207" s="41" t="str">
        <f t="shared" si="194"/>
        <v>-3,50629633830052+2,35056813506164i</v>
      </c>
      <c r="BD207">
        <f t="shared" si="195"/>
        <v>12.508902634643093</v>
      </c>
      <c r="BE207" s="43">
        <f t="shared" si="196"/>
        <v>146.16269671043952</v>
      </c>
      <c r="BF207" s="41" t="str">
        <f t="shared" si="197"/>
        <v>5,02359636557478+9,34759401494742i</v>
      </c>
      <c r="BG207" s="20">
        <f t="shared" si="198"/>
        <v>20.515925170221522</v>
      </c>
      <c r="BH207" s="43">
        <f t="shared" si="199"/>
        <v>61.745467820242311</v>
      </c>
      <c r="BI207" s="41" t="str">
        <f t="shared" si="203"/>
        <v>15,4109685450405+29,8379946234243i</v>
      </c>
      <c r="BJ207" s="20">
        <f t="shared" si="200"/>
        <v>30.522335823018988</v>
      </c>
      <c r="BK207" s="43">
        <f t="shared" si="204"/>
        <v>62.684185631240389</v>
      </c>
      <c r="BL207">
        <f t="shared" si="201"/>
        <v>20.515925170221522</v>
      </c>
      <c r="BM207" s="43">
        <f t="shared" si="202"/>
        <v>61.745467820242311</v>
      </c>
    </row>
    <row r="208" spans="14:65" x14ac:dyDescent="0.25">
      <c r="N208" s="9">
        <v>90</v>
      </c>
      <c r="O208" s="34">
        <f t="shared" si="205"/>
        <v>794.32823472428208</v>
      </c>
      <c r="P208" s="33" t="str">
        <f t="shared" si="155"/>
        <v>54,631621870174</v>
      </c>
      <c r="Q208" s="4" t="str">
        <f t="shared" si="156"/>
        <v>1+22,278930603894i</v>
      </c>
      <c r="R208" s="4">
        <f t="shared" si="168"/>
        <v>22.301362040313251</v>
      </c>
      <c r="S208" s="4">
        <f t="shared" si="169"/>
        <v>1.525940976226249</v>
      </c>
      <c r="T208" s="4" t="str">
        <f t="shared" si="157"/>
        <v>1+0,0754625817816824i</v>
      </c>
      <c r="U208" s="4">
        <f t="shared" si="170"/>
        <v>1.0028432585649449</v>
      </c>
      <c r="V208" s="4">
        <f t="shared" si="171"/>
        <v>7.5319826122933947E-2</v>
      </c>
      <c r="W208" t="str">
        <f t="shared" si="158"/>
        <v>1-0,019860527967926i</v>
      </c>
      <c r="X208" s="4">
        <f t="shared" si="172"/>
        <v>1.0001972008414963</v>
      </c>
      <c r="Y208" s="4">
        <f t="shared" si="173"/>
        <v>-1.9857917319747054E-2</v>
      </c>
      <c r="Z208" t="str">
        <f t="shared" si="159"/>
        <v>0,999997476170622+0,0027286759099963i</v>
      </c>
      <c r="AA208" s="4">
        <f t="shared" si="174"/>
        <v>1.0000011990091988</v>
      </c>
      <c r="AB208" s="4">
        <f t="shared" si="175"/>
        <v>2.7286760244296087E-3</v>
      </c>
      <c r="AC208" s="47" t="str">
        <f t="shared" si="176"/>
        <v>0,239408925535433-2,44545446020485i</v>
      </c>
      <c r="AD208" s="20">
        <f t="shared" si="177"/>
        <v>7.8086175826673223</v>
      </c>
      <c r="AE208" s="43">
        <f t="shared" si="178"/>
        <v>-84.408586045533042</v>
      </c>
      <c r="AF208" t="str">
        <f t="shared" si="160"/>
        <v>171,265703090588</v>
      </c>
      <c r="AG208" t="str">
        <f t="shared" si="161"/>
        <v>1+22,0657208495499i</v>
      </c>
      <c r="AH208">
        <f t="shared" si="179"/>
        <v>22.088368808272406</v>
      </c>
      <c r="AI208">
        <f t="shared" si="180"/>
        <v>1.5255081515128162</v>
      </c>
      <c r="AJ208" t="str">
        <f t="shared" si="162"/>
        <v>1+0,0754625817816824i</v>
      </c>
      <c r="AK208">
        <f t="shared" si="181"/>
        <v>1.0028432585649449</v>
      </c>
      <c r="AL208">
        <f t="shared" si="182"/>
        <v>7.5319826122933947E-2</v>
      </c>
      <c r="AM208" t="str">
        <f t="shared" si="163"/>
        <v>1-0,00627462687227923i</v>
      </c>
      <c r="AN208">
        <f t="shared" si="183"/>
        <v>1.0000196852774381</v>
      </c>
      <c r="AO208">
        <f t="shared" si="184"/>
        <v>-6.2745445282333711E-3</v>
      </c>
      <c r="AP208" s="41" t="str">
        <f t="shared" si="185"/>
        <v>0,88710513707411-7,7250905759202i</v>
      </c>
      <c r="AQ208">
        <f t="shared" si="186"/>
        <v>17.814967304190553</v>
      </c>
      <c r="AR208" s="43">
        <f t="shared" si="187"/>
        <v>-83.449175463819458</v>
      </c>
      <c r="AS208" t="str">
        <f t="shared" si="164"/>
        <v>-0,0000166666666666667</v>
      </c>
      <c r="AT208" t="str">
        <f t="shared" si="165"/>
        <v>7,65106731953168E-06i</v>
      </c>
      <c r="AU208">
        <f t="shared" si="188"/>
        <v>7.6510673195316801E-6</v>
      </c>
      <c r="AV208">
        <f t="shared" si="189"/>
        <v>1.5707963267948966</v>
      </c>
      <c r="AW208" t="str">
        <f t="shared" si="166"/>
        <v>1+0,035454028808994i</v>
      </c>
      <c r="AX208">
        <f t="shared" si="190"/>
        <v>1.0006282967010223</v>
      </c>
      <c r="AY208">
        <f t="shared" si="191"/>
        <v>3.543918490442273E-2</v>
      </c>
      <c r="AZ208" t="str">
        <f t="shared" si="167"/>
        <v>1+1,64700079285418i</v>
      </c>
      <c r="BA208">
        <f t="shared" si="192"/>
        <v>1.9268138497691722</v>
      </c>
      <c r="BB208">
        <f t="shared" si="193"/>
        <v>1.0251256419818939</v>
      </c>
      <c r="BC208" s="41" t="str">
        <f t="shared" si="194"/>
        <v>-3,50609822286909+2,30265062454626i</v>
      </c>
      <c r="BD208">
        <f t="shared" si="195"/>
        <v>12.453874112447476</v>
      </c>
      <c r="BE208" s="43">
        <f t="shared" si="196"/>
        <v>146.70485703179426</v>
      </c>
      <c r="BF208" s="41" t="str">
        <f t="shared" si="197"/>
        <v>4,79163603173135+9,12527864893763i</v>
      </c>
      <c r="BG208" s="20">
        <f t="shared" si="198"/>
        <v>20.2624916951148</v>
      </c>
      <c r="BH208" s="43">
        <f t="shared" si="199"/>
        <v>62.296270986261241</v>
      </c>
      <c r="BI208" s="41" t="str">
        <f t="shared" si="203"/>
        <v>14,6779068947255+29,1276195376585i</v>
      </c>
      <c r="BJ208" s="20">
        <f t="shared" si="200"/>
        <v>30.26884141663804</v>
      </c>
      <c r="BK208" s="43">
        <f t="shared" si="204"/>
        <v>63.255681567974818</v>
      </c>
      <c r="BL208">
        <f t="shared" si="201"/>
        <v>20.2624916951148</v>
      </c>
      <c r="BM208" s="43">
        <f t="shared" si="202"/>
        <v>62.296270986261241</v>
      </c>
    </row>
    <row r="209" spans="14:65" x14ac:dyDescent="0.25">
      <c r="N209" s="9">
        <v>91</v>
      </c>
      <c r="O209" s="34">
        <f t="shared" si="205"/>
        <v>812.83051616409978</v>
      </c>
      <c r="P209" s="33" t="str">
        <f t="shared" si="155"/>
        <v>54,631621870174</v>
      </c>
      <c r="Q209" s="4" t="str">
        <f t="shared" si="156"/>
        <v>1+22,797873562474i</v>
      </c>
      <c r="R209" s="4">
        <f t="shared" si="168"/>
        <v>22.819794893262095</v>
      </c>
      <c r="S209" s="4">
        <f t="shared" si="169"/>
        <v>1.5269606859813905</v>
      </c>
      <c r="T209" s="4" t="str">
        <f t="shared" si="157"/>
        <v>1+0,0772203311166088i</v>
      </c>
      <c r="U209" s="4">
        <f t="shared" si="170"/>
        <v>1.0029770583307271</v>
      </c>
      <c r="V209" s="4">
        <f t="shared" si="171"/>
        <v>7.7067390183583356E-2</v>
      </c>
      <c r="W209" t="str">
        <f t="shared" si="158"/>
        <v>1-0,0203231390925746i</v>
      </c>
      <c r="X209" s="4">
        <f t="shared" si="172"/>
        <v>1.0002064936714699</v>
      </c>
      <c r="Y209" s="4">
        <f t="shared" si="173"/>
        <v>-2.0320341763841836E-2</v>
      </c>
      <c r="Z209" t="str">
        <f t="shared" si="159"/>
        <v>0,999997357226208+0,00279223493690452i</v>
      </c>
      <c r="AA209" s="4">
        <f t="shared" si="174"/>
        <v>1.0000012555168831</v>
      </c>
      <c r="AB209" s="4">
        <f t="shared" si="175"/>
        <v>2.7922350595218355E-3</v>
      </c>
      <c r="AC209" s="47" t="str">
        <f t="shared" si="176"/>
        <v>0,234485791604603-2,3901909055427i</v>
      </c>
      <c r="AD209" s="20">
        <f t="shared" si="177"/>
        <v>7.6102496193592284</v>
      </c>
      <c r="AE209" s="43">
        <f t="shared" si="178"/>
        <v>-84.397019699178031</v>
      </c>
      <c r="AF209" t="str">
        <f t="shared" si="160"/>
        <v>171,265703090588</v>
      </c>
      <c r="AG209" t="str">
        <f t="shared" si="161"/>
        <v>1+22,5796975149677i</v>
      </c>
      <c r="AH209">
        <f t="shared" si="179"/>
        <v>22.601830453913209</v>
      </c>
      <c r="AI209">
        <f t="shared" si="180"/>
        <v>1.5265376749108641</v>
      </c>
      <c r="AJ209" t="str">
        <f t="shared" si="162"/>
        <v>1+0,0772203311166088i</v>
      </c>
      <c r="AK209">
        <f t="shared" si="181"/>
        <v>1.0029770583307271</v>
      </c>
      <c r="AL209">
        <f t="shared" si="182"/>
        <v>7.7067390183583356E-2</v>
      </c>
      <c r="AM209" t="str">
        <f t="shared" si="163"/>
        <v>1-0,00642078170757983i</v>
      </c>
      <c r="AN209">
        <f t="shared" si="183"/>
        <v>1.0000206130064202</v>
      </c>
      <c r="AO209">
        <f t="shared" si="184"/>
        <v>-6.4206934744432476E-3</v>
      </c>
      <c r="AP209" s="41" t="str">
        <f t="shared" si="185"/>
        <v>0,871386609014813-7,55011144211371i</v>
      </c>
      <c r="AQ209">
        <f t="shared" si="186"/>
        <v>17.61653480617457</v>
      </c>
      <c r="AR209" s="43">
        <f t="shared" si="187"/>
        <v>-83.416408482131715</v>
      </c>
      <c r="AS209" t="str">
        <f t="shared" si="164"/>
        <v>-0,0000166666666666667</v>
      </c>
      <c r="AT209" t="str">
        <f t="shared" si="165"/>
        <v>7,82928357154506E-06i</v>
      </c>
      <c r="AU209">
        <f t="shared" si="188"/>
        <v>7.8292835715450593E-6</v>
      </c>
      <c r="AV209">
        <f t="shared" si="189"/>
        <v>1.5707963267948966</v>
      </c>
      <c r="AW209" t="str">
        <f t="shared" si="166"/>
        <v>1+0,0362798592283635i</v>
      </c>
      <c r="AX209">
        <f t="shared" si="190"/>
        <v>1.0006578976781375</v>
      </c>
      <c r="AY209">
        <f t="shared" si="191"/>
        <v>3.6263954262784677E-2</v>
      </c>
      <c r="AZ209" t="str">
        <f t="shared" si="167"/>
        <v>1+1,68536436960853i</v>
      </c>
      <c r="BA209">
        <f t="shared" si="192"/>
        <v>1.9597073910015133</v>
      </c>
      <c r="BB209">
        <f t="shared" si="193"/>
        <v>1.0352856856116572</v>
      </c>
      <c r="BC209" s="41" t="str">
        <f t="shared" si="194"/>
        <v>-3,50589079453929+2,25595334850525i</v>
      </c>
      <c r="BD209">
        <f t="shared" si="195"/>
        <v>12.400646591591631</v>
      </c>
      <c r="BE209" s="43">
        <f t="shared" si="196"/>
        <v>147.2397288481429</v>
      </c>
      <c r="BF209" s="41" t="str">
        <f t="shared" si="197"/>
        <v>4,57007759868901+8,90873729968099i</v>
      </c>
      <c r="BG209" s="20">
        <f t="shared" si="198"/>
        <v>20.010896210950861</v>
      </c>
      <c r="BH209" s="43">
        <f t="shared" si="199"/>
        <v>62.842709148964929</v>
      </c>
      <c r="BI209" s="41" t="str">
        <f t="shared" si="203"/>
        <v>13,9777128983944+28,4356737411018i</v>
      </c>
      <c r="BJ209" s="20">
        <f t="shared" si="200"/>
        <v>30.017181397766194</v>
      </c>
      <c r="BK209" s="43">
        <f t="shared" si="204"/>
        <v>63.823320366011181</v>
      </c>
      <c r="BL209">
        <f t="shared" si="201"/>
        <v>20.010896210950861</v>
      </c>
      <c r="BM209" s="43">
        <f t="shared" si="202"/>
        <v>62.842709148964929</v>
      </c>
    </row>
    <row r="210" spans="14:65" x14ac:dyDescent="0.25">
      <c r="N210" s="9">
        <v>92</v>
      </c>
      <c r="O210" s="34">
        <f t="shared" si="205"/>
        <v>831.7637711026714</v>
      </c>
      <c r="P210" s="33" t="str">
        <f t="shared" si="155"/>
        <v>54,631621870174</v>
      </c>
      <c r="Q210" s="4" t="str">
        <f t="shared" si="156"/>
        <v>1+23,3289042553823i</v>
      </c>
      <c r="R210" s="4">
        <f t="shared" si="168"/>
        <v>23.350327058882804</v>
      </c>
      <c r="S210" s="4">
        <f t="shared" si="169"/>
        <v>1.5279572724607444</v>
      </c>
      <c r="T210" s="4" t="str">
        <f t="shared" si="157"/>
        <v>1+0,0790190236932253i</v>
      </c>
      <c r="U210" s="4">
        <f t="shared" si="170"/>
        <v>1.0031171447569973</v>
      </c>
      <c r="V210" s="4">
        <f t="shared" si="171"/>
        <v>7.8855172022275807E-2</v>
      </c>
      <c r="W210" t="str">
        <f t="shared" si="158"/>
        <v>1-0,0207965258145786i</v>
      </c>
      <c r="X210" s="4">
        <f t="shared" si="172"/>
        <v>1.0002162243664898</v>
      </c>
      <c r="Y210" s="4">
        <f t="shared" si="173"/>
        <v>-2.0793528457833325E-2</v>
      </c>
      <c r="Z210" t="str">
        <f t="shared" si="159"/>
        <v>0,999997232676116+0,00285727444373589i</v>
      </c>
      <c r="AA210" s="4">
        <f t="shared" si="174"/>
        <v>1.000001314687704</v>
      </c>
      <c r="AB210" s="4">
        <f t="shared" si="175"/>
        <v>2.8572745751225051E-3</v>
      </c>
      <c r="AC210" s="47" t="str">
        <f t="shared" si="176"/>
        <v>0,229783356966848-2,33617525570473i</v>
      </c>
      <c r="AD210" s="20">
        <f t="shared" si="177"/>
        <v>7.4119220597065647</v>
      </c>
      <c r="AE210" s="43">
        <f t="shared" si="178"/>
        <v>-84.382525634550532</v>
      </c>
      <c r="AF210" t="str">
        <f t="shared" si="160"/>
        <v>171,265703090588</v>
      </c>
      <c r="AG210" t="str">
        <f t="shared" si="161"/>
        <v>1+23,1056462348856i</v>
      </c>
      <c r="AH210">
        <f t="shared" si="179"/>
        <v>23.127275843291251</v>
      </c>
      <c r="AI210">
        <f t="shared" si="180"/>
        <v>1.5275438542206436</v>
      </c>
      <c r="AJ210" t="str">
        <f t="shared" si="162"/>
        <v>1+0,0790190236932253i</v>
      </c>
      <c r="AK210">
        <f t="shared" si="181"/>
        <v>1.0031171447569973</v>
      </c>
      <c r="AL210">
        <f t="shared" si="182"/>
        <v>7.8855172022275807E-2</v>
      </c>
      <c r="AM210" t="str">
        <f t="shared" si="163"/>
        <v>1-0,0065703409263309i</v>
      </c>
      <c r="AN210">
        <f t="shared" si="183"/>
        <v>1.0000215844569997</v>
      </c>
      <c r="AO210">
        <f t="shared" si="184"/>
        <v>-6.5702463829319015E-3</v>
      </c>
      <c r="AP210" s="41" t="str">
        <f t="shared" si="185"/>
        <v>0,856372823607729-7,37907291539117i</v>
      </c>
      <c r="AQ210">
        <f t="shared" si="186"/>
        <v>17.418138971506622</v>
      </c>
      <c r="AR210" s="43">
        <f t="shared" si="187"/>
        <v>-83.380194706438587</v>
      </c>
      <c r="AS210" t="str">
        <f t="shared" si="164"/>
        <v>-0,0000166666666666667</v>
      </c>
      <c r="AT210" t="str">
        <f t="shared" si="165"/>
        <v>8,01165101334089E-06i</v>
      </c>
      <c r="AU210">
        <f t="shared" si="188"/>
        <v>8.0116510133408901E-6</v>
      </c>
      <c r="AV210">
        <f t="shared" si="189"/>
        <v>1.5707963267948966</v>
      </c>
      <c r="AW210" t="str">
        <f t="shared" si="166"/>
        <v>1+0,0371249257093167i</v>
      </c>
      <c r="AX210">
        <f t="shared" si="190"/>
        <v>1.0006888927678383</v>
      </c>
      <c r="AY210">
        <f t="shared" si="191"/>
        <v>3.7107883865237459E-2</v>
      </c>
      <c r="AZ210" t="str">
        <f t="shared" si="167"/>
        <v>1+1,72462154886007i</v>
      </c>
      <c r="BA210">
        <f t="shared" si="192"/>
        <v>1.9935695339748014</v>
      </c>
      <c r="BB210">
        <f t="shared" si="193"/>
        <v>1.0453342444793869</v>
      </c>
      <c r="BC210" s="41" t="str">
        <f t="shared" si="194"/>
        <v>-3,50567361671796+2,21045150025022i</v>
      </c>
      <c r="BD210">
        <f t="shared" si="195"/>
        <v>12.349180703165281</v>
      </c>
      <c r="BE210" s="43">
        <f t="shared" si="196"/>
        <v>147.76711525702578</v>
      </c>
      <c r="BF210" s="41" t="str">
        <f t="shared" si="197"/>
        <v>4,3584566467404+8,69779292409331i</v>
      </c>
      <c r="BG210" s="20">
        <f t="shared" si="198"/>
        <v>19.76110276287185</v>
      </c>
      <c r="BH210" s="43">
        <f t="shared" si="199"/>
        <v>63.384589622475225</v>
      </c>
      <c r="BI210" s="41" t="str">
        <f t="shared" si="203"/>
        <v>13,3089191824863+27,7615918280421i</v>
      </c>
      <c r="BJ210" s="20">
        <f t="shared" si="200"/>
        <v>29.767319674671896</v>
      </c>
      <c r="BK210" s="43">
        <f t="shared" si="204"/>
        <v>64.386920550587163</v>
      </c>
      <c r="BL210">
        <f t="shared" si="201"/>
        <v>19.76110276287185</v>
      </c>
      <c r="BM210" s="43">
        <f t="shared" si="202"/>
        <v>63.384589622475225</v>
      </c>
    </row>
    <row r="211" spans="14:65" x14ac:dyDescent="0.25">
      <c r="N211" s="9">
        <v>93</v>
      </c>
      <c r="O211" s="34">
        <f t="shared" si="205"/>
        <v>851.13803820237763</v>
      </c>
      <c r="P211" s="33" t="str">
        <f t="shared" ref="P211:P274" si="206">COMPLEX(Adc,0)</f>
        <v>54,631621870174</v>
      </c>
      <c r="Q211" s="4" t="str">
        <f t="shared" ref="Q211:Q274" si="207">IMSUM(COMPLEX(1,0),IMDIV(COMPLEX(0,2*PI()*O211),COMPLEX(wp_lf,0)))</f>
        <v>1+23,8723042421214i</v>
      </c>
      <c r="R211" s="4">
        <f t="shared" si="168"/>
        <v>23.893239835325961</v>
      </c>
      <c r="S211" s="4">
        <f t="shared" si="169"/>
        <v>1.528931256144789</v>
      </c>
      <c r="T211" s="4" t="str">
        <f t="shared" ref="T211:T274" si="208">IMSUM(COMPLEX(1,0),IMDIV(COMPLEX(0,2*PI()*O211),COMPLEX(wz_esr,0)))</f>
        <v>1+0,0808596132021444i</v>
      </c>
      <c r="U211" s="4">
        <f t="shared" si="170"/>
        <v>1.0032638122882738</v>
      </c>
      <c r="V211" s="4">
        <f t="shared" si="171"/>
        <v>8.0684073806725168E-2</v>
      </c>
      <c r="W211" t="str">
        <f t="shared" ref="W211:W274" si="209">IMSUB(COMPLEX(1,0),IMDIV(COMPLEX(0,2*PI()*O211),COMPLEX(wz_rhp,0)))</f>
        <v>1-0,0212809391298441i</v>
      </c>
      <c r="X211" s="4">
        <f t="shared" si="172"/>
        <v>1.0002264135535754</v>
      </c>
      <c r="Y211" s="4">
        <f t="shared" si="173"/>
        <v>-2.1277727443490751E-2</v>
      </c>
      <c r="Z211" t="str">
        <f t="shared" ref="Z211:Z274" si="210">IMSUM(COMPLEX(1,0),IMDIV(COMPLEX(0,2*PI()*O211),COMPLEX(Q*(wsl/2),0)),IMDIV(IMPOWER(COMPLEX(0,2*PI()*O211),2),IMPOWER(COMPLEX(wsl/2,0),2)))</f>
        <v>0,99999710225616+0,00292382891529783i</v>
      </c>
      <c r="AA211" s="4">
        <f t="shared" si="174"/>
        <v>1.0000013766471738</v>
      </c>
      <c r="AB211" s="4">
        <f t="shared" si="175"/>
        <v>2.9238290560808914E-3</v>
      </c>
      <c r="AC211" s="47" t="str">
        <f t="shared" si="176"/>
        <v>0,225291759327457-2,28338016143567i</v>
      </c>
      <c r="AD211" s="20">
        <f t="shared" si="177"/>
        <v>7.2136383997989935</v>
      </c>
      <c r="AE211" s="43">
        <f t="shared" si="178"/>
        <v>-84.365098284757309</v>
      </c>
      <c r="AF211" t="str">
        <f t="shared" ref="AF211:AF274" si="211">COMPLEX($B$72,0)</f>
        <v>171,265703090588</v>
      </c>
      <c r="AG211" t="str">
        <f t="shared" ref="AG211:AG274" si="212">IMSUM(COMPLEX(1,0),IMDIV(COMPLEX(0,2*PI()*O211),COMPLEX(wp_lf_DCM,0)))</f>
        <v>1+23,6438458742767i</v>
      </c>
      <c r="AH211">
        <f t="shared" si="179"/>
        <v>23.66498357756775</v>
      </c>
      <c r="AI211">
        <f t="shared" si="180"/>
        <v>1.528527214777881</v>
      </c>
      <c r="AJ211" t="str">
        <f t="shared" ref="AJ211:AJ274" si="213">IMSUM(COMPLEX(1,0),IMDIV(COMPLEX(0,2*PI()*O211),COMPLEX(wz1_dcm,0)))</f>
        <v>1+0,0808596132021444i</v>
      </c>
      <c r="AK211">
        <f t="shared" si="181"/>
        <v>1.0032638122882738</v>
      </c>
      <c r="AL211">
        <f t="shared" si="182"/>
        <v>8.0684073806725168E-2</v>
      </c>
      <c r="AM211" t="str">
        <f t="shared" ref="AM211:AM274" si="214">IMSUB(COMPLEX(1,0),IMDIV(COMPLEX(0,2*PI()*O211),COMPLEX(wz2_dcm,0)))</f>
        <v>1-0,00672338382680986i</v>
      </c>
      <c r="AN211">
        <f t="shared" si="183"/>
        <v>1.0000226016896232</v>
      </c>
      <c r="AO211">
        <f t="shared" si="184"/>
        <v>-6.7232825218563087E-3</v>
      </c>
      <c r="AP211" s="41" t="str">
        <f t="shared" si="185"/>
        <v>0,84203229979891-7,21188846915639i</v>
      </c>
      <c r="AQ211">
        <f t="shared" si="186"/>
        <v>17.219783151505673</v>
      </c>
      <c r="AR211" s="43">
        <f t="shared" si="187"/>
        <v>-83.340517087588339</v>
      </c>
      <c r="AS211" t="str">
        <f t="shared" ref="AS211:AS274" si="215">COMPLEX(Adc_ea,0)</f>
        <v>-0,0000166666666666667</v>
      </c>
      <c r="AT211" t="str">
        <f t="shared" ref="AT211:AT274" si="216">COMPLEX(0,2*PI()*O211*wp0_ea)</f>
        <v>8,19826633855075E-06i</v>
      </c>
      <c r="AU211">
        <f t="shared" si="188"/>
        <v>8.1982663385507506E-6</v>
      </c>
      <c r="AV211">
        <f t="shared" si="189"/>
        <v>1.5707963267948966</v>
      </c>
      <c r="AW211" t="str">
        <f t="shared" ref="AW211:AW274" si="217">IMSUM(COMPLEX(1,0),IMDIV(COMPLEX(0,2*PI()*O211),COMPLEX(wp1_ea,0)))</f>
        <v>1+0,0379896763172874i</v>
      </c>
      <c r="AX211">
        <f t="shared" si="190"/>
        <v>1.000721347582179</v>
      </c>
      <c r="AY211">
        <f t="shared" si="191"/>
        <v>3.7971416363192234E-2</v>
      </c>
      <c r="AZ211" t="str">
        <f t="shared" ref="AZ211:AZ274" si="218">IMSUM(COMPLEX(1,0),IMDIV(COMPLEX(0,2*PI()*O211),COMPLEX(wz_ea,0)))</f>
        <v>1+1,7647931452849i</v>
      </c>
      <c r="BA211">
        <f t="shared" si="192"/>
        <v>2.0284217622685303</v>
      </c>
      <c r="BB211">
        <f t="shared" si="193"/>
        <v>1.05526852879212</v>
      </c>
      <c r="BC211" s="41" t="str">
        <f t="shared" si="194"/>
        <v>-3,50544623245824+2,16612090356575i</v>
      </c>
      <c r="BD211">
        <f t="shared" si="195"/>
        <v>12.299436467383442</v>
      </c>
      <c r="BE211" s="43">
        <f t="shared" si="196"/>
        <v>148.28683105302321</v>
      </c>
      <c r="BF211" s="41" t="str">
        <f t="shared" si="197"/>
        <v>4,15632934953482+8,49227557345487i</v>
      </c>
      <c r="BG211" s="20">
        <f t="shared" si="198"/>
        <v>19.513074867182439</v>
      </c>
      <c r="BH211" s="43">
        <f t="shared" si="199"/>
        <v>63.921732768265919</v>
      </c>
      <c r="BI211" s="41" t="str">
        <f t="shared" si="203"/>
        <v>12,6701234142862+27,1048310291853i</v>
      </c>
      <c r="BJ211" s="20">
        <f t="shared" si="200"/>
        <v>29.519219618889124</v>
      </c>
      <c r="BK211" s="43">
        <f t="shared" si="204"/>
        <v>64.946313965434939</v>
      </c>
      <c r="BL211">
        <f t="shared" si="201"/>
        <v>19.513074867182439</v>
      </c>
      <c r="BM211" s="43">
        <f t="shared" si="202"/>
        <v>63.921732768265919</v>
      </c>
    </row>
    <row r="212" spans="14:65" x14ac:dyDescent="0.25">
      <c r="N212" s="9">
        <v>94</v>
      </c>
      <c r="O212" s="34">
        <f t="shared" si="205"/>
        <v>870.96358995608091</v>
      </c>
      <c r="P212" s="33" t="str">
        <f t="shared" si="206"/>
        <v>54,631621870174</v>
      </c>
      <c r="Q212" s="4" t="str">
        <f t="shared" si="207"/>
        <v>1+24,4283616405569i</v>
      </c>
      <c r="R212" s="4">
        <f t="shared" ref="R212:R275" si="219">IMABS(Q212)</f>
        <v>24.448821084907792</v>
      </c>
      <c r="S212" s="4">
        <f t="shared" ref="S212:S275" si="220">IMARGUMENT(Q212)</f>
        <v>1.5298831460566424</v>
      </c>
      <c r="T212" s="4" t="str">
        <f t="shared" si="208"/>
        <v>1+0,0827430755482866i</v>
      </c>
      <c r="U212" s="4">
        <f t="shared" ref="U212:U275" si="221">IMABS(T212)</f>
        <v>1.0034173690699146</v>
      </c>
      <c r="V212" s="4">
        <f t="shared" ref="V212:V275" si="222">IMARGUMENT(T212)</f>
        <v>8.2555016277887583E-2</v>
      </c>
      <c r="W212" t="str">
        <f t="shared" si="209"/>
        <v>1-0,0217766358807228i</v>
      </c>
      <c r="X212" s="4">
        <f t="shared" ref="X212:X275" si="223">IMABS(W212)</f>
        <v>1.0002370828310063</v>
      </c>
      <c r="Y212" s="4">
        <f t="shared" ref="Y212:Y275" si="224">IMARGUMENT(W212)</f>
        <v>-2.1773194540846325E-2</v>
      </c>
      <c r="Z212" t="str">
        <f t="shared" si="210"/>
        <v>0,9999969656897+0,0029919336396521i</v>
      </c>
      <c r="AA212" s="4">
        <f t="shared" ref="AA212:AA275" si="225">IMABS(Z212)</f>
        <v>1.0000014415267167</v>
      </c>
      <c r="AB212" s="4">
        <f t="shared" ref="AB212:AB275" si="226">IMARGUMENT(Z212)</f>
        <v>2.9919337905036092E-3</v>
      </c>
      <c r="AC212" s="47" t="str">
        <f t="shared" ref="AC212:AC275" si="227">(IMDIV(IMPRODUCT(P212,T212,W212),IMPRODUCT(Q212,Z212)))</f>
        <v>0,221001573767542-2,23177883500467i</v>
      </c>
      <c r="AD212" s="20">
        <f t="shared" ref="AD212:AD275" si="228">20*LOG(IMABS(AC212))</f>
        <v>7.015402224751119</v>
      </c>
      <c r="AE212" s="43">
        <f t="shared" ref="AE212:AE275" si="229">(180/PI())*IMARGUMENT(AC212)</f>
        <v>-84.344730739371585</v>
      </c>
      <c r="AF212" t="str">
        <f t="shared" si="211"/>
        <v>171,265703090588</v>
      </c>
      <c r="AG212" t="str">
        <f t="shared" si="212"/>
        <v>1+24,1945817937135i</v>
      </c>
      <c r="AH212">
        <f t="shared" ref="AH212:AH275" si="230">IMABS(AG212)</f>
        <v>24.215238759357565</v>
      </c>
      <c r="AI212">
        <f t="shared" ref="AI212:AI275" si="231">IMARGUMENT(AG212)</f>
        <v>1.5294882703617647</v>
      </c>
      <c r="AJ212" t="str">
        <f t="shared" si="213"/>
        <v>1+0,0827430755482866i</v>
      </c>
      <c r="AK212">
        <f t="shared" ref="AK212:AK275" si="232">IMABS(AJ212)</f>
        <v>1.0034173690699146</v>
      </c>
      <c r="AL212">
        <f t="shared" ref="AL212:AL275" si="233">IMARGUMENT(AJ212)</f>
        <v>8.2555016277887583E-2</v>
      </c>
      <c r="AM212" t="str">
        <f t="shared" si="214"/>
        <v>1-0,00687999155438827i</v>
      </c>
      <c r="AN212">
        <f t="shared" ref="AN212:AN275" si="234">IMABS(AM212)</f>
        <v>1.0000236668618341</v>
      </c>
      <c r="AO212">
        <f t="shared" ref="AO212:AO275" si="235">IMARGUMENT(AM212)</f>
        <v>-6.879883004313571E-3</v>
      </c>
      <c r="AP212" s="41" t="str">
        <f t="shared" ref="AP212:AP275" si="236">(IMDIV(IMPRODUCT(AF212,AJ212,AM212),IMPRODUCT(AG212)))</f>
        <v>0,828334952593956-7,04847334429096i</v>
      </c>
      <c r="AQ212">
        <f t="shared" ref="AQ212:AQ275" si="237">20*LOG(IMABS(AP212))</f>
        <v>17.021470778312029</v>
      </c>
      <c r="AR212" s="43">
        <f t="shared" ref="AR212:AR275" si="238">(180/PI())*IMARGUMENT(AP212)</f>
        <v>-83.29735695582751</v>
      </c>
      <c r="AS212" t="str">
        <f t="shared" si="215"/>
        <v>-0,0000166666666666667</v>
      </c>
      <c r="AT212" t="str">
        <f t="shared" si="216"/>
        <v>8,38922849309016E-06i</v>
      </c>
      <c r="AU212">
        <f t="shared" ref="AU212:AU275" si="239">IMABS(AT212)</f>
        <v>8.3892284930901599E-6</v>
      </c>
      <c r="AV212">
        <f t="shared" ref="AV212:AV275" si="240">IMARGUMENT(AT212)</f>
        <v>1.5707963267948966</v>
      </c>
      <c r="AW212" t="str">
        <f t="shared" si="217"/>
        <v>1+0,0388745695544942i</v>
      </c>
      <c r="AX212">
        <f t="shared" ref="AX212:AX275" si="241">IMABS(AW212)</f>
        <v>1.0007553308167023</v>
      </c>
      <c r="AY212">
        <f t="shared" ref="AY212:AY275" si="242">IMARGUMENT(AW212)</f>
        <v>3.8855004458660108E-2</v>
      </c>
      <c r="AZ212" t="str">
        <f t="shared" si="218"/>
        <v>1+1,80590045839514i</v>
      </c>
      <c r="BA212">
        <f t="shared" ref="BA212:BA275" si="243">IMABS(AZ212)</f>
        <v>2.064285945704174</v>
      </c>
      <c r="BB212">
        <f t="shared" ref="BB212:BB275" si="244">IMARGUMENT(AZ212)</f>
        <v>1.0650859618880568</v>
      </c>
      <c r="BC212" s="41" t="str">
        <f t="shared" ref="BC212:BC275" si="245">IMPRODUCT(AS212,IMDIV(AZ212,IMPRODUCT(AT212,AW212)))</f>
        <v>-3,50520816352142+2,12293799965267i</v>
      </c>
      <c r="BD212">
        <f t="shared" ref="BD212:BD275" si="246">20*LOG(IMABS(BC212))</f>
        <v>12.251373399778299</v>
      </c>
      <c r="BE212" s="43">
        <f t="shared" ref="BE212:BE275" si="247">(180/PI())*IMARGUMENT(BC212)</f>
        <v>148.79870266637406</v>
      </c>
      <c r="BF212" s="41" t="str">
        <f t="shared" ref="BF212:BF275" si="248">IMPRODUCT(AC212,BC212)</f>
        <v>3,96327157513091+8,29202203056685i</v>
      </c>
      <c r="BG212" s="20">
        <f t="shared" ref="BG212:BG275" si="249">20*LOG(IMABS(BF212))</f>
        <v>19.266775624529416</v>
      </c>
      <c r="BH212" s="43">
        <f t="shared" ref="BH212:BH275" si="250">(180/PI())*IMARGUMENT(BF212)</f>
        <v>64.45397192700247</v>
      </c>
      <c r="BI212" s="41" t="str">
        <f t="shared" si="203"/>
        <v>12,0599854641718+26,464870054074i</v>
      </c>
      <c r="BJ212" s="20">
        <f t="shared" ref="BJ212:BJ275" si="251">20*LOG(IMABS(BI212))</f>
        <v>29.272844178090335</v>
      </c>
      <c r="BK212" s="43">
        <f t="shared" si="204"/>
        <v>65.50134571054646</v>
      </c>
      <c r="BL212">
        <f t="shared" ref="BL212:BL275" si="252">IF($B$31=0,BJ212,BG212)</f>
        <v>19.266775624529416</v>
      </c>
      <c r="BM212" s="43">
        <f t="shared" ref="BM212:BM275" si="253">IF($B$31=0,BK212,BH212)</f>
        <v>64.45397192700247</v>
      </c>
    </row>
    <row r="213" spans="14:65" x14ac:dyDescent="0.25">
      <c r="N213" s="9">
        <v>95</v>
      </c>
      <c r="O213" s="34">
        <f t="shared" si="205"/>
        <v>891.25093813374656</v>
      </c>
      <c r="P213" s="33" t="str">
        <f t="shared" si="206"/>
        <v>54,631621870174</v>
      </c>
      <c r="Q213" s="4" t="str">
        <f t="shared" si="207"/>
        <v>1+24,9973712796819i</v>
      </c>
      <c r="R213" s="4">
        <f t="shared" si="219"/>
        <v>25.017365386752168</v>
      </c>
      <c r="S213" s="4">
        <f t="shared" si="220"/>
        <v>1.5308134399969862</v>
      </c>
      <c r="T213" s="4" t="str">
        <f t="shared" si="208"/>
        <v>1+0,0846704093683188i</v>
      </c>
      <c r="U213" s="4">
        <f t="shared" si="221"/>
        <v>1.0035781375770392</v>
      </c>
      <c r="V213" s="4">
        <f t="shared" si="222"/>
        <v>8.4468939012283209E-2</v>
      </c>
      <c r="W213" t="str">
        <f t="shared" si="209"/>
        <v>1-0,0222838788921933i</v>
      </c>
      <c r="X213" s="4">
        <f t="shared" si="223"/>
        <v>1.0002482548140146</v>
      </c>
      <c r="Y213" s="4">
        <f t="shared" si="224"/>
        <v>-2.2280191479507074E-2</v>
      </c>
      <c r="Z213" t="str">
        <f t="shared" si="210"/>
        <v>0,999996822687061+0,00306162472682505i</v>
      </c>
      <c r="AA213" s="4">
        <f t="shared" si="225"/>
        <v>1.0000015094639534</v>
      </c>
      <c r="AB213" s="4">
        <f t="shared" si="226"/>
        <v>3.061624888465063E-3</v>
      </c>
      <c r="AC213" s="47" t="str">
        <f t="shared" si="227"/>
        <v>0,216903793613672-2,18134504166224i</v>
      </c>
      <c r="AD213" s="20">
        <f t="shared" si="228"/>
        <v>6.8172172158453535</v>
      </c>
      <c r="AE213" s="43">
        <f t="shared" si="229"/>
        <v>-84.321414751458974</v>
      </c>
      <c r="AF213" t="str">
        <f t="shared" si="211"/>
        <v>171,265703090588</v>
      </c>
      <c r="AG213" t="str">
        <f t="shared" si="212"/>
        <v>1+24,7581460006706i</v>
      </c>
      <c r="AH213">
        <f t="shared" si="230"/>
        <v>24.778333143908643</v>
      </c>
      <c r="AI213">
        <f t="shared" si="231"/>
        <v>1.5304275234313787</v>
      </c>
      <c r="AJ213" t="str">
        <f t="shared" si="213"/>
        <v>1+0,0846704093683188i</v>
      </c>
      <c r="AK213">
        <f t="shared" si="232"/>
        <v>1.0035781375770392</v>
      </c>
      <c r="AL213">
        <f t="shared" si="233"/>
        <v>8.4468939012283209E-2</v>
      </c>
      <c r="AM213" t="str">
        <f t="shared" si="214"/>
        <v>1-0,0070402471445563i</v>
      </c>
      <c r="AN213">
        <f t="shared" si="234"/>
        <v>1.0000247822328487</v>
      </c>
      <c r="AO213">
        <f t="shared" si="235"/>
        <v>-7.0401308312113518E-3</v>
      </c>
      <c r="AP213" s="41" t="str">
        <f t="shared" si="236"/>
        <v>0,815252032046213-6,88874452245444i</v>
      </c>
      <c r="AQ213">
        <f t="shared" si="237"/>
        <v>16.823205371706337</v>
      </c>
      <c r="AR213" s="43">
        <f t="shared" si="238"/>
        <v>-83.250694021773469</v>
      </c>
      <c r="AS213" t="str">
        <f t="shared" si="215"/>
        <v>-0,0000166666666666667</v>
      </c>
      <c r="AT213" t="str">
        <f t="shared" si="216"/>
        <v>0,0000085846387276212i</v>
      </c>
      <c r="AU213">
        <f t="shared" si="239"/>
        <v>8.5846387276211999E-6</v>
      </c>
      <c r="AV213">
        <f t="shared" si="240"/>
        <v>1.5707963267948966</v>
      </c>
      <c r="AW213" t="str">
        <f t="shared" si="217"/>
        <v>1+0,0397800746030448i</v>
      </c>
      <c r="AX213">
        <f t="shared" si="241"/>
        <v>1.0007909143949218</v>
      </c>
      <c r="AY213">
        <f t="shared" si="242"/>
        <v>3.9759111119861204E-2</v>
      </c>
      <c r="AZ213" t="str">
        <f t="shared" si="218"/>
        <v>1+1,84796528383235i</v>
      </c>
      <c r="BA213">
        <f t="shared" si="243"/>
        <v>2.1011843541797033</v>
      </c>
      <c r="BB213">
        <f t="shared" si="244"/>
        <v>1.0747841786105561</v>
      </c>
      <c r="BC213" s="41" t="str">
        <f t="shared" si="245"/>
        <v>-3,50495890939712+2,08087983438159i</v>
      </c>
      <c r="BD213">
        <f t="shared" si="246"/>
        <v>12.20495061427606</v>
      </c>
      <c r="BE213" s="43">
        <f t="shared" si="247"/>
        <v>149.30256805745998</v>
      </c>
      <c r="BF213" s="41" t="str">
        <f t="shared" si="248"/>
        <v>3,77887802511495+8,09687546837486i</v>
      </c>
      <c r="BG213" s="20">
        <f t="shared" si="249"/>
        <v>19.022167830121415</v>
      </c>
      <c r="BH213" s="43">
        <f t="shared" si="250"/>
        <v>64.981153306001019</v>
      </c>
      <c r="BI213" s="41" t="str">
        <f t="shared" si="203"/>
        <v>11,4772246878576+25,8412080019609i</v>
      </c>
      <c r="BJ213" s="20">
        <f t="shared" si="251"/>
        <v>29.028155985982401</v>
      </c>
      <c r="BK213" s="43">
        <f t="shared" si="204"/>
        <v>66.051874035686524</v>
      </c>
      <c r="BL213">
        <f t="shared" si="252"/>
        <v>19.022167830121415</v>
      </c>
      <c r="BM213" s="43">
        <f t="shared" si="253"/>
        <v>64.981153306001019</v>
      </c>
    </row>
    <row r="214" spans="14:65" x14ac:dyDescent="0.25">
      <c r="N214" s="9">
        <v>96</v>
      </c>
      <c r="O214" s="34">
        <f t="shared" si="205"/>
        <v>912.01083935590987</v>
      </c>
      <c r="P214" s="33" t="str">
        <f t="shared" si="206"/>
        <v>54,631621870174</v>
      </c>
      <c r="Q214" s="4" t="str">
        <f t="shared" si="207"/>
        <v>1+25,5796348559386i</v>
      </c>
      <c r="R214" s="4">
        <f t="shared" si="219"/>
        <v>25.599174192992027</v>
      </c>
      <c r="S214" s="4">
        <f t="shared" si="220"/>
        <v>1.531722624775349</v>
      </c>
      <c r="T214" s="4" t="str">
        <f t="shared" si="208"/>
        <v>1+0,0866426365601431i</v>
      </c>
      <c r="U214" s="4">
        <f t="shared" si="221"/>
        <v>1.0037464552714959</v>
      </c>
      <c r="V214" s="4">
        <f t="shared" si="222"/>
        <v>8.642680067875852E-2</v>
      </c>
      <c r="W214" t="str">
        <f t="shared" si="209"/>
        <v>1-0,0228029371112143i</v>
      </c>
      <c r="X214" s="4">
        <f t="shared" si="223"/>
        <v>1.0002599531826204</v>
      </c>
      <c r="Y214" s="4">
        <f t="shared" si="224"/>
        <v>-2.2798986032791169E-2</v>
      </c>
      <c r="Z214" t="str">
        <f t="shared" si="210"/>
        <v>0,999996672944916+0,00313293912795355i</v>
      </c>
      <c r="AA214" s="4">
        <f t="shared" si="225"/>
        <v>1.0000015806029912</v>
      </c>
      <c r="AB214" s="4">
        <f t="shared" si="226"/>
        <v>3.1329393011536163E-3</v>
      </c>
      <c r="AC214" s="47" t="str">
        <f t="shared" si="227"/>
        <v>0,212989812119472-2,13205309101867i</v>
      </c>
      <c r="AD214" s="20">
        <f t="shared" si="228"/>
        <v>6.6190871578418449</v>
      </c>
      <c r="AE214" s="43">
        <f t="shared" si="229"/>
        <v>-84.295140744900294</v>
      </c>
      <c r="AF214" t="str">
        <f t="shared" si="211"/>
        <v>171,265703090588</v>
      </c>
      <c r="AG214" t="str">
        <f t="shared" si="212"/>
        <v>1+25,33483730435i</v>
      </c>
      <c r="AH214">
        <f t="shared" si="230"/>
        <v>25.35456529380625</v>
      </c>
      <c r="AI214">
        <f t="shared" si="231"/>
        <v>1.5313454653585084</v>
      </c>
      <c r="AJ214" t="str">
        <f t="shared" si="213"/>
        <v>1+0,0866426365601431i</v>
      </c>
      <c r="AK214">
        <f t="shared" si="232"/>
        <v>1.0037464552714959</v>
      </c>
      <c r="AL214">
        <f t="shared" si="233"/>
        <v>8.642680067875852E-2</v>
      </c>
      <c r="AM214" t="str">
        <f t="shared" si="214"/>
        <v>1-0,00720423556694904i</v>
      </c>
      <c r="AN214">
        <f t="shared" si="234"/>
        <v>1.0000259501683464</v>
      </c>
      <c r="AO214">
        <f t="shared" si="235"/>
        <v>-7.2041109351291431E-3</v>
      </c>
      <c r="AP214" s="41" t="str">
        <f t="shared" si="236"/>
        <v>0,802756064832098-6,73262069911004i</v>
      </c>
      <c r="AQ214">
        <f t="shared" si="237"/>
        <v>16.624990546077861</v>
      </c>
      <c r="AR214" s="43">
        <f t="shared" si="238"/>
        <v>-83.200506377555243</v>
      </c>
      <c r="AS214" t="str">
        <f t="shared" si="215"/>
        <v>-0,0000166666666666667</v>
      </c>
      <c r="AT214" t="str">
        <f t="shared" si="216"/>
        <v>8,78460065123674E-06i</v>
      </c>
      <c r="AU214">
        <f t="shared" si="239"/>
        <v>8.7846006512367403E-6</v>
      </c>
      <c r="AV214">
        <f t="shared" si="240"/>
        <v>1.5707963267948966</v>
      </c>
      <c r="AW214" t="str">
        <f t="shared" si="217"/>
        <v>1+0,0407066715737012i</v>
      </c>
      <c r="AX214">
        <f t="shared" si="241"/>
        <v>1.0008281736195326</v>
      </c>
      <c r="AY214">
        <f t="shared" si="242"/>
        <v>4.0684209800543325E-2</v>
      </c>
      <c r="AZ214" t="str">
        <f t="shared" si="218"/>
        <v>1+1,89100992492376i</v>
      </c>
      <c r="BA214">
        <f t="shared" si="243"/>
        <v>2.1391396719616425</v>
      </c>
      <c r="BB214">
        <f t="shared" si="244"/>
        <v>1.084361022965465</v>
      </c>
      <c r="BC214" s="41" t="str">
        <f t="shared" si="245"/>
        <v>-3,50469794627912+2,03992404584925i</v>
      </c>
      <c r="BD214">
        <f t="shared" si="246"/>
        <v>12.160126922741732</v>
      </c>
      <c r="BE214" s="43">
        <f t="shared" si="247"/>
        <v>149.79827657001388</v>
      </c>
      <c r="BF214" s="41" t="str">
        <f t="shared" si="248"/>
        <v>3,60276141028271+7,90668512871461i</v>
      </c>
      <c r="BG214" s="20">
        <f t="shared" si="249"/>
        <v>18.779214080583579</v>
      </c>
      <c r="BH214" s="43">
        <f t="shared" si="250"/>
        <v>65.503135825113645</v>
      </c>
      <c r="BI214" s="41" t="str">
        <f t="shared" si="203"/>
        <v>10,9206173239168+25,2333633368496i</v>
      </c>
      <c r="BJ214" s="20">
        <f t="shared" si="251"/>
        <v>28.785117468819603</v>
      </c>
      <c r="BK214" s="43">
        <f t="shared" si="204"/>
        <v>66.597770192458682</v>
      </c>
      <c r="BL214">
        <f t="shared" si="252"/>
        <v>18.779214080583579</v>
      </c>
      <c r="BM214" s="43">
        <f t="shared" si="253"/>
        <v>65.503135825113645</v>
      </c>
    </row>
    <row r="215" spans="14:65" x14ac:dyDescent="0.25">
      <c r="N215" s="9">
        <v>97</v>
      </c>
      <c r="O215" s="34">
        <f t="shared" si="205"/>
        <v>933.25430079699106</v>
      </c>
      <c r="P215" s="33" t="str">
        <f t="shared" si="206"/>
        <v>54,631621870174</v>
      </c>
      <c r="Q215" s="4" t="str">
        <f t="shared" si="207"/>
        <v>1+26,1754610931825i</v>
      </c>
      <c r="R215" s="4">
        <f t="shared" si="219"/>
        <v>26.194555988615473</v>
      </c>
      <c r="S215" s="4">
        <f t="shared" si="220"/>
        <v>1.5326111764377255</v>
      </c>
      <c r="T215" s="4" t="str">
        <f t="shared" si="208"/>
        <v>1+0,0886608028247228i</v>
      </c>
      <c r="U215" s="4">
        <f t="shared" si="221"/>
        <v>1.0039226752880543</v>
      </c>
      <c r="V215" s="4">
        <f t="shared" si="222"/>
        <v>8.842957928879204E-2</v>
      </c>
      <c r="W215" t="str">
        <f t="shared" si="209"/>
        <v>1-0,0233340857493244i</v>
      </c>
      <c r="X215" s="4">
        <f t="shared" si="223"/>
        <v>1.0002722027317148</v>
      </c>
      <c r="Y215" s="4">
        <f t="shared" si="224"/>
        <v>-2.3329852154738633E-2</v>
      </c>
      <c r="Z215" t="str">
        <f t="shared" si="210"/>
        <v>0,99999651614564+0,00320591465487704i</v>
      </c>
      <c r="AA215" s="4">
        <f t="shared" si="225"/>
        <v>1.0000016550947262</v>
      </c>
      <c r="AB215" s="4">
        <f t="shared" si="226"/>
        <v>3.2059148404638901E-3</v>
      </c>
      <c r="AC215" s="47" t="str">
        <f t="shared" si="227"/>
        <v>0,209251404926863-2,08387782836324i</v>
      </c>
      <c r="AD215" s="20">
        <f t="shared" si="228"/>
        <v>6.421015946465813</v>
      </c>
      <c r="AE215" s="43">
        <f t="shared" si="229"/>
        <v>-84.265897822064048</v>
      </c>
      <c r="AF215" t="str">
        <f t="shared" si="211"/>
        <v>171,265703090588</v>
      </c>
      <c r="AG215" t="str">
        <f t="shared" si="212"/>
        <v>1+25,9249614741143i</v>
      </c>
      <c r="AH215">
        <f t="shared" si="230"/>
        <v>25.944240737287164</v>
      </c>
      <c r="AI215">
        <f t="shared" si="231"/>
        <v>1.5322425766567949</v>
      </c>
      <c r="AJ215" t="str">
        <f t="shared" si="213"/>
        <v>1+0,0886608028247228i</v>
      </c>
      <c r="AK215">
        <f t="shared" si="232"/>
        <v>1.0039226752880543</v>
      </c>
      <c r="AL215">
        <f t="shared" si="233"/>
        <v>8.842957928879204E-2</v>
      </c>
      <c r="AM215" t="str">
        <f t="shared" si="214"/>
        <v>1-0,00737204377039872i</v>
      </c>
      <c r="AN215">
        <f t="shared" si="234"/>
        <v>1.0000271731454864</v>
      </c>
      <c r="AO215">
        <f t="shared" si="235"/>
        <v>-7.3719102251936369E-3</v>
      </c>
      <c r="AP215" s="41" t="str">
        <f t="shared" si="236"/>
        <v>0,790820798310923-6,5800222563388i</v>
      </c>
      <c r="AQ215">
        <f t="shared" si="237"/>
        <v>16.426830017552241</v>
      </c>
      <c r="AR215" s="43">
        <f t="shared" si="238"/>
        <v>-83.146770498172529</v>
      </c>
      <c r="AS215" t="str">
        <f t="shared" si="215"/>
        <v>-0,0000166666666666667</v>
      </c>
      <c r="AT215" t="str">
        <f t="shared" si="216"/>
        <v>0,0000089892202863955i</v>
      </c>
      <c r="AU215">
        <f t="shared" si="239"/>
        <v>8.9892202863955004E-6</v>
      </c>
      <c r="AV215">
        <f t="shared" si="240"/>
        <v>1.5707963267948966</v>
      </c>
      <c r="AW215" t="str">
        <f t="shared" si="217"/>
        <v>1+0,0416548517604427i</v>
      </c>
      <c r="AX215">
        <f t="shared" si="241"/>
        <v>1.0008671873306589</v>
      </c>
      <c r="AY215">
        <f t="shared" si="242"/>
        <v>4.1630784663009408E-2</v>
      </c>
      <c r="AZ215" t="str">
        <f t="shared" si="218"/>
        <v>1+1,93505720450784i</v>
      </c>
      <c r="BA215">
        <f t="shared" si="243"/>
        <v>2.1781750124169768</v>
      </c>
      <c r="BB215">
        <f t="shared" si="244"/>
        <v>1.0938145451143233</v>
      </c>
      <c r="BC215" s="41" t="str">
        <f t="shared" si="245"/>
        <v>-3,50442472599554+2,00004885222952i</v>
      </c>
      <c r="BD215">
        <f t="shared" si="246"/>
        <v>12.116860930629374</v>
      </c>
      <c r="BE215" s="43">
        <f t="shared" si="247"/>
        <v>150.2856887460643</v>
      </c>
      <c r="BF215" s="41" t="str">
        <f t="shared" si="248"/>
        <v>3,43455166142944+7,72130601992141i</v>
      </c>
      <c r="BG215" s="20">
        <f t="shared" si="249"/>
        <v>18.537876877095179</v>
      </c>
      <c r="BH215" s="43">
        <f t="shared" si="250"/>
        <v>66.019790924000247</v>
      </c>
      <c r="BI215" s="41" t="str">
        <f t="shared" si="203"/>
        <v>10,3889940020028+24,6408729226956i</v>
      </c>
      <c r="BJ215" s="20">
        <f t="shared" si="251"/>
        <v>28.543690948181606</v>
      </c>
      <c r="BK215" s="43">
        <f t="shared" si="204"/>
        <v>67.138918247891695</v>
      </c>
      <c r="BL215">
        <f t="shared" si="252"/>
        <v>18.537876877095179</v>
      </c>
      <c r="BM215" s="43">
        <f t="shared" si="253"/>
        <v>66.019790924000247</v>
      </c>
    </row>
    <row r="216" spans="14:65" x14ac:dyDescent="0.25">
      <c r="N216" s="9">
        <v>98</v>
      </c>
      <c r="O216" s="34">
        <f t="shared" si="205"/>
        <v>954.99258602143675</v>
      </c>
      <c r="P216" s="33" t="str">
        <f t="shared" si="206"/>
        <v>54,631621870174</v>
      </c>
      <c r="Q216" s="4" t="str">
        <f t="shared" si="207"/>
        <v>1+26,7851659063712i</v>
      </c>
      <c r="R216" s="4">
        <f t="shared" si="219"/>
        <v>26.803826455038656</v>
      </c>
      <c r="S216" s="4">
        <f t="shared" si="220"/>
        <v>1.5334795604905029</v>
      </c>
      <c r="T216" s="4" t="str">
        <f t="shared" si="208"/>
        <v>1+0,0907259782205246i</v>
      </c>
      <c r="U216" s="4">
        <f t="shared" si="221"/>
        <v>1.0041071671510322</v>
      </c>
      <c r="V216" s="4">
        <f t="shared" si="222"/>
        <v>9.0478272439363475E-2</v>
      </c>
      <c r="W216" t="str">
        <f t="shared" si="209"/>
        <v>1-0,0238776064285619i</v>
      </c>
      <c r="X216" s="4">
        <f t="shared" si="223"/>
        <v>1.0002850294234924</v>
      </c>
      <c r="Y216" s="4">
        <f t="shared" si="224"/>
        <v>-2.3873070120043458E-2</v>
      </c>
      <c r="Z216" t="str">
        <f t="shared" si="210"/>
        <v>0,999996351956643+0,00328059000018586i</v>
      </c>
      <c r="AA216" s="4">
        <f t="shared" si="225"/>
        <v>1.00000173309717</v>
      </c>
      <c r="AB216" s="4">
        <f t="shared" si="226"/>
        <v>3.2805901990453383E-3</v>
      </c>
      <c r="AC216" s="47" t="str">
        <f t="shared" si="227"/>
        <v>0,205680713275715-2,0367946259426i</v>
      </c>
      <c r="AD216" s="20">
        <f t="shared" si="228"/>
        <v>6.2230075960851288</v>
      </c>
      <c r="AE216" s="43">
        <f t="shared" si="229"/>
        <v>-84.233673771887524</v>
      </c>
      <c r="AF216" t="str">
        <f t="shared" si="211"/>
        <v>171,265703090588</v>
      </c>
      <c r="AG216" t="str">
        <f t="shared" si="212"/>
        <v>1+26,5288314016098i</v>
      </c>
      <c r="AH216">
        <f t="shared" si="230"/>
        <v>26.547672130245964</v>
      </c>
      <c r="AI216">
        <f t="shared" si="231"/>
        <v>1.5331193272072043</v>
      </c>
      <c r="AJ216" t="str">
        <f t="shared" si="213"/>
        <v>1+0,0907259782205246i</v>
      </c>
      <c r="AK216">
        <f t="shared" si="232"/>
        <v>1.0041071671510322</v>
      </c>
      <c r="AL216">
        <f t="shared" si="233"/>
        <v>9.0478272439363475E-2</v>
      </c>
      <c r="AM216" t="str">
        <f t="shared" si="214"/>
        <v>1-0,00754376072903601i</v>
      </c>
      <c r="AN216">
        <f t="shared" si="234"/>
        <v>1.0000284537581603</v>
      </c>
      <c r="AO216">
        <f t="shared" si="235"/>
        <v>-7.54361763299054E-3</v>
      </c>
      <c r="AP216" s="41" t="str">
        <f t="shared" si="236"/>
        <v>0,779421146969936-6,43087123550077i</v>
      </c>
      <c r="AQ216">
        <f t="shared" si="237"/>
        <v>16.228727611289528</v>
      </c>
      <c r="AR216" s="43">
        <f t="shared" si="238"/>
        <v>-83.089461243129549</v>
      </c>
      <c r="AS216" t="str">
        <f t="shared" si="215"/>
        <v>-0,0000166666666666667</v>
      </c>
      <c r="AT216" t="str">
        <f t="shared" si="216"/>
        <v>9,19860612513652E-06i</v>
      </c>
      <c r="AU216">
        <f t="shared" si="239"/>
        <v>9.1986061251365193E-6</v>
      </c>
      <c r="AV216">
        <f t="shared" si="240"/>
        <v>1.5707963267948966</v>
      </c>
      <c r="AW216" t="str">
        <f t="shared" si="217"/>
        <v>1+0,0426251179009547i</v>
      </c>
      <c r="AX216">
        <f t="shared" si="241"/>
        <v>1.0009080380714654</v>
      </c>
      <c r="AY216">
        <f t="shared" si="242"/>
        <v>4.259933080483435E-2</v>
      </c>
      <c r="AZ216" t="str">
        <f t="shared" si="218"/>
        <v>1+1,98013047703526i</v>
      </c>
      <c r="BA216">
        <f t="shared" si="243"/>
        <v>2.2183139331672344</v>
      </c>
      <c r="BB216">
        <f t="shared" si="244"/>
        <v>1.1031429977574789</v>
      </c>
      <c r="BC216" s="41" t="str">
        <f t="shared" si="245"/>
        <v>-3,50413867489134+1,9612330399113i</v>
      </c>
      <c r="BD216">
        <f t="shared" si="246"/>
        <v>12.075111128427348</v>
      </c>
      <c r="BE216" s="43">
        <f t="shared" si="247"/>
        <v>150.76467610571473</v>
      </c>
      <c r="BF216" s="41" t="str">
        <f t="shared" si="248"/>
        <v>3,27389517384373+7,54059863212516i</v>
      </c>
      <c r="BG216" s="20">
        <f t="shared" si="249"/>
        <v>18.298118724512481</v>
      </c>
      <c r="BH216" s="43">
        <f t="shared" si="250"/>
        <v>66.531002333827232</v>
      </c>
      <c r="BI216" s="41" t="str">
        <f t="shared" si="203"/>
        <v>9,88123735735379+24,0632911150075i</v>
      </c>
      <c r="BJ216" s="20">
        <f t="shared" si="251"/>
        <v>28.30383873971688</v>
      </c>
      <c r="BK216" s="43">
        <f t="shared" si="204"/>
        <v>67.675214862585165</v>
      </c>
      <c r="BL216">
        <f t="shared" si="252"/>
        <v>18.298118724512481</v>
      </c>
      <c r="BM216" s="43">
        <f t="shared" si="253"/>
        <v>66.531002333827232</v>
      </c>
    </row>
    <row r="217" spans="14:65" x14ac:dyDescent="0.25">
      <c r="N217" s="9">
        <v>99</v>
      </c>
      <c r="O217" s="34">
        <f t="shared" si="205"/>
        <v>977.23722095581138</v>
      </c>
      <c r="P217" s="33" t="str">
        <f t="shared" si="206"/>
        <v>54,631621870174</v>
      </c>
      <c r="Q217" s="4" t="str">
        <f t="shared" si="207"/>
        <v>1+27,4090725690671i</v>
      </c>
      <c r="R217" s="4">
        <f t="shared" si="219"/>
        <v>27.427308637494608</v>
      </c>
      <c r="S217" s="4">
        <f t="shared" si="220"/>
        <v>1.5343282321206868</v>
      </c>
      <c r="T217" s="4" t="str">
        <f t="shared" si="208"/>
        <v>1+0,0928392577308792i</v>
      </c>
      <c r="U217" s="4">
        <f t="shared" si="221"/>
        <v>1.0043003175226126</v>
      </c>
      <c r="V217" s="4">
        <f t="shared" si="222"/>
        <v>9.2573897547349057E-2</v>
      </c>
      <c r="W217" t="str">
        <f t="shared" si="209"/>
        <v>1-0,0244337873307853i</v>
      </c>
      <c r="X217" s="4">
        <f t="shared" si="223"/>
        <v>1.0002984604423453</v>
      </c>
      <c r="Y217" s="4">
        <f t="shared" si="224"/>
        <v>-2.442892666695929E-2</v>
      </c>
      <c r="Z217" t="str">
        <f t="shared" si="210"/>
        <v>0,999996180029656+0,00335700475773651i</v>
      </c>
      <c r="AA217" s="4">
        <f t="shared" si="225"/>
        <v>1.0000018147757772</v>
      </c>
      <c r="AB217" s="4">
        <f t="shared" si="226"/>
        <v>3.35700497081782E-3</v>
      </c>
      <c r="AC217" s="47" t="str">
        <f t="shared" si="227"/>
        <v>0,202270227931766-1,99077937421466i</v>
      </c>
      <c r="AD217" s="20">
        <f t="shared" si="228"/>
        <v>6.02506624758899</v>
      </c>
      <c r="AE217" s="43">
        <f t="shared" si="229"/>
        <v>-84.198455078428353</v>
      </c>
      <c r="AF217" t="str">
        <f t="shared" si="211"/>
        <v>171,265703090588</v>
      </c>
      <c r="AG217" t="str">
        <f t="shared" si="212"/>
        <v>1+27,1467672666649i</v>
      </c>
      <c r="AH217">
        <f t="shared" si="230"/>
        <v>27.16517942201871</v>
      </c>
      <c r="AI217">
        <f t="shared" si="231"/>
        <v>1.5339761764798012</v>
      </c>
      <c r="AJ217" t="str">
        <f t="shared" si="213"/>
        <v>1+0,0928392577308792i</v>
      </c>
      <c r="AK217">
        <f t="shared" si="232"/>
        <v>1.0043003175226126</v>
      </c>
      <c r="AL217">
        <f t="shared" si="233"/>
        <v>9.2573897547349057E-2</v>
      </c>
      <c r="AM217" t="str">
        <f t="shared" si="214"/>
        <v>1-0,0077194774894653i</v>
      </c>
      <c r="AN217">
        <f t="shared" si="234"/>
        <v>1.0000297947224923</v>
      </c>
      <c r="AO217">
        <f t="shared" si="235"/>
        <v>-7.7193241595368018E-3</v>
      </c>
      <c r="AP217" s="41" t="str">
        <f t="shared" si="236"/>
        <v>0,768533141158893-6,28509130979729i</v>
      </c>
      <c r="AQ217">
        <f t="shared" si="237"/>
        <v>16.030687268963749</v>
      </c>
      <c r="AR217" s="43">
        <f t="shared" si="238"/>
        <v>-83.028551858403006</v>
      </c>
      <c r="AS217" t="str">
        <f t="shared" si="215"/>
        <v>-0,0000166666666666667</v>
      </c>
      <c r="AT217" t="str">
        <f t="shared" si="216"/>
        <v>9,41286918660302E-06i</v>
      </c>
      <c r="AU217">
        <f t="shared" si="239"/>
        <v>9.4128691866030196E-6</v>
      </c>
      <c r="AV217">
        <f t="shared" si="240"/>
        <v>1.5707963267948966</v>
      </c>
      <c r="AW217" t="str">
        <f t="shared" si="217"/>
        <v>1+0,0436179844431879i</v>
      </c>
      <c r="AX217">
        <f t="shared" si="241"/>
        <v>1.0009508122614648</v>
      </c>
      <c r="AY217">
        <f t="shared" si="242"/>
        <v>4.3590354489258354E-2</v>
      </c>
      <c r="AZ217" t="str">
        <f t="shared" si="218"/>
        <v>1+2,02625364095173i</v>
      </c>
      <c r="BA217">
        <f t="shared" si="243"/>
        <v>2.25958045164808</v>
      </c>
      <c r="BB217">
        <f t="shared" si="244"/>
        <v>1.112344831962208</v>
      </c>
      <c r="BC217" s="41" t="str">
        <f t="shared" si="245"/>
        <v>-3,50383919266097+1,92345595191594i</v>
      </c>
      <c r="BD217">
        <f t="shared" si="246"/>
        <v>12.034835978640157</v>
      </c>
      <c r="BE217" s="43">
        <f t="shared" si="247"/>
        <v>151.23512089490947</v>
      </c>
      <c r="BF217" s="41" t="str">
        <f t="shared" si="248"/>
        <v>3,12045408414889+7,36442866912515i</v>
      </c>
      <c r="BG217" s="20">
        <f t="shared" si="249"/>
        <v>18.059902226229145</v>
      </c>
      <c r="BH217" s="43">
        <f t="shared" si="250"/>
        <v>67.036665816481104</v>
      </c>
      <c r="BI217" s="41" t="str">
        <f t="shared" si="203"/>
        <v>9,39627974731337+23,5001889053273i</v>
      </c>
      <c r="BJ217" s="20">
        <f t="shared" si="251"/>
        <v>28.065523247603892</v>
      </c>
      <c r="BK217" s="43">
        <f t="shared" si="204"/>
        <v>68.206569036506451</v>
      </c>
      <c r="BL217">
        <f t="shared" si="252"/>
        <v>18.059902226229145</v>
      </c>
      <c r="BM217" s="43">
        <f t="shared" si="253"/>
        <v>67.036665816481104</v>
      </c>
    </row>
    <row r="218" spans="14:65" x14ac:dyDescent="0.25">
      <c r="N218" s="9">
        <v>100</v>
      </c>
      <c r="O218" s="34">
        <f t="shared" si="205"/>
        <v>1000</v>
      </c>
      <c r="P218" s="33" t="str">
        <f t="shared" si="206"/>
        <v>54,631621870174</v>
      </c>
      <c r="Q218" s="4" t="str">
        <f t="shared" si="207"/>
        <v>1+28,047511884841i</v>
      </c>
      <c r="R218" s="4">
        <f t="shared" si="219"/>
        <v>28.065333116325153</v>
      </c>
      <c r="S218" s="4">
        <f t="shared" si="220"/>
        <v>1.5351576364124151</v>
      </c>
      <c r="T218" s="4" t="str">
        <f t="shared" si="208"/>
        <v>1+0,0950017618445555i</v>
      </c>
      <c r="U218" s="4">
        <f t="shared" si="221"/>
        <v>1.0045025309841531</v>
      </c>
      <c r="V218" s="4">
        <f t="shared" si="222"/>
        <v>9.4717492074314333E-2</v>
      </c>
      <c r="W218" t="str">
        <f t="shared" si="209"/>
        <v>1-0,0250029233504708i</v>
      </c>
      <c r="X218" s="4">
        <f t="shared" si="223"/>
        <v>1.0003125242523305</v>
      </c>
      <c r="Y218" s="4">
        <f t="shared" si="224"/>
        <v>-2.4997715143224745E-2</v>
      </c>
      <c r="Z218" t="str">
        <f t="shared" si="210"/>
        <v>0,999996+0,00343519944364491i</v>
      </c>
      <c r="AA218" s="4">
        <f t="shared" si="225"/>
        <v>1.0000019003038034</v>
      </c>
      <c r="AB218" s="4">
        <f t="shared" si="226"/>
        <v>3.4351996719651297E-3</v>
      </c>
      <c r="AC218" s="47" t="str">
        <f t="shared" si="227"/>
        <v>0,1990127738037-1,94580847309316i</v>
      </c>
      <c r="AD218" s="20">
        <f t="shared" si="228"/>
        <v>5.827196176479104</v>
      </c>
      <c r="AE218" s="43">
        <f t="shared" si="229"/>
        <v>-84.160226929953666</v>
      </c>
      <c r="AF218" t="str">
        <f t="shared" si="211"/>
        <v>171,265703090588</v>
      </c>
      <c r="AG218" t="str">
        <f t="shared" si="212"/>
        <v>1+27,7790967070547i</v>
      </c>
      <c r="AH218">
        <f t="shared" si="230"/>
        <v>27.797090025034947</v>
      </c>
      <c r="AI218">
        <f t="shared" si="231"/>
        <v>1.5348135737518127</v>
      </c>
      <c r="AJ218" t="str">
        <f t="shared" si="213"/>
        <v>1+0,0950017618445555i</v>
      </c>
      <c r="AK218">
        <f t="shared" si="232"/>
        <v>1.0045025309841531</v>
      </c>
      <c r="AL218">
        <f t="shared" si="233"/>
        <v>9.4717492074314333E-2</v>
      </c>
      <c r="AM218" t="str">
        <f t="shared" si="214"/>
        <v>1-0,00789928721903887i</v>
      </c>
      <c r="AN218">
        <f t="shared" si="234"/>
        <v>1.0000311988825992</v>
      </c>
      <c r="AO218">
        <f t="shared" si="235"/>
        <v>-7.8991229233372449E-3</v>
      </c>
      <c r="AP218" s="41" t="str">
        <f t="shared" si="236"/>
        <v>0,758133878021444-6,1426077567829i</v>
      </c>
      <c r="AQ218">
        <f t="shared" si="237"/>
        <v>15.832713056433864</v>
      </c>
      <c r="AR218" s="43">
        <f t="shared" si="238"/>
        <v>-82.964013978810016</v>
      </c>
      <c r="AS218" t="str">
        <f t="shared" si="215"/>
        <v>-0,0000166666666666667</v>
      </c>
      <c r="AT218" t="str">
        <f t="shared" si="216"/>
        <v>9,63212307590631E-06i</v>
      </c>
      <c r="AU218">
        <f t="shared" si="239"/>
        <v>9.6321230759063105E-6</v>
      </c>
      <c r="AV218">
        <f t="shared" si="240"/>
        <v>1.5707963267948966</v>
      </c>
      <c r="AW218" t="str">
        <f t="shared" si="217"/>
        <v>1+0,0446339778181251i</v>
      </c>
      <c r="AX218">
        <f t="shared" si="241"/>
        <v>1.0009956003778784</v>
      </c>
      <c r="AY218">
        <f t="shared" si="242"/>
        <v>4.4604373379225078E-2</v>
      </c>
      <c r="AZ218" t="str">
        <f t="shared" si="218"/>
        <v>1+2,07345115136927i</v>
      </c>
      <c r="BA218">
        <f t="shared" si="243"/>
        <v>2.3019990610585728</v>
      </c>
      <c r="BB218">
        <f t="shared" si="244"/>
        <v>1.1214186924912724</v>
      </c>
      <c r="BC218" s="41" t="str">
        <f t="shared" si="245"/>
        <v>-3,50352565112937+1,88669747658582i</v>
      </c>
      <c r="BD218">
        <f t="shared" si="246"/>
        <v>11.995993998098394</v>
      </c>
      <c r="BE218" s="43">
        <f t="shared" si="247"/>
        <v>151.69691580437376</v>
      </c>
      <c r="BF218" s="41" t="str">
        <f t="shared" si="248"/>
        <v>2,9739055781805+7,19266679581054i</v>
      </c>
      <c r="BG218" s="20">
        <f t="shared" si="249"/>
        <v>17.823190174577491</v>
      </c>
      <c r="BH218" s="43">
        <f t="shared" si="250"/>
        <v>67.536688874420093</v>
      </c>
      <c r="BI218" s="41" t="str">
        <f t="shared" si="203"/>
        <v>8,93310106574047+22,9511531152924i</v>
      </c>
      <c r="BJ218" s="20">
        <f t="shared" si="251"/>
        <v>27.828707054532256</v>
      </c>
      <c r="BK218" s="43">
        <f t="shared" si="204"/>
        <v>68.732901825563744</v>
      </c>
      <c r="BL218">
        <f t="shared" si="252"/>
        <v>17.823190174577491</v>
      </c>
      <c r="BM218" s="43">
        <f t="shared" si="253"/>
        <v>67.536688874420093</v>
      </c>
    </row>
    <row r="219" spans="14:65" x14ac:dyDescent="0.25">
      <c r="N219" s="9">
        <v>1</v>
      </c>
      <c r="O219" s="34">
        <f>10^(3+(N219/100))</f>
        <v>1023.2929922807547</v>
      </c>
      <c r="P219" s="33" t="str">
        <f t="shared" si="206"/>
        <v>54,631621870174</v>
      </c>
      <c r="Q219" s="4" t="str">
        <f t="shared" si="207"/>
        <v>1+28,7008223626689i</v>
      </c>
      <c r="R219" s="4">
        <f t="shared" si="219"/>
        <v>28.718238182267996</v>
      </c>
      <c r="S219" s="4">
        <f t="shared" si="220"/>
        <v>1.5359682085597612</v>
      </c>
      <c r="T219" s="4" t="str">
        <f t="shared" si="208"/>
        <v>1+0,0972146371498587i</v>
      </c>
      <c r="U219" s="4">
        <f t="shared" si="221"/>
        <v>1.0047142308518271</v>
      </c>
      <c r="V219" s="4">
        <f t="shared" si="222"/>
        <v>9.6910113740501569E-2</v>
      </c>
      <c r="W219" t="str">
        <f t="shared" si="209"/>
        <v>1-0,0255853162510696i</v>
      </c>
      <c r="X219" s="4">
        <f t="shared" si="223"/>
        <v>1.0003272506573373</v>
      </c>
      <c r="Y219" s="4">
        <f t="shared" si="224"/>
        <v>-2.5579735655058458E-2</v>
      </c>
      <c r="Z219" t="str">
        <f t="shared" si="210"/>
        <v>0,999995811485808+0,00351521551776859i</v>
      </c>
      <c r="AA219" s="4">
        <f t="shared" si="225"/>
        <v>1.0000019898626682</v>
      </c>
      <c r="AB219" s="4">
        <f t="shared" si="226"/>
        <v>3.5152157624175309E-3</v>
      </c>
      <c r="AC219" s="47" t="str">
        <f t="shared" si="227"/>
        <v>0,195901495221295-1,90185882319696i</v>
      </c>
      <c r="AD219" s="20">
        <f t="shared" si="228"/>
        <v>5.6294018011856251</v>
      </c>
      <c r="AE219" s="43">
        <f t="shared" si="229"/>
        <v>-84.118973228640172</v>
      </c>
      <c r="AF219" t="str">
        <f t="shared" si="211"/>
        <v>171,265703090588</v>
      </c>
      <c r="AG219" t="str">
        <f t="shared" si="212"/>
        <v>1+28,4261549922185i</v>
      </c>
      <c r="AH219">
        <f t="shared" si="230"/>
        <v>28.443738988424656</v>
      </c>
      <c r="AI219">
        <f t="shared" si="231"/>
        <v>1.535631958321982</v>
      </c>
      <c r="AJ219" t="str">
        <f t="shared" si="213"/>
        <v>1+0,0972146371498587i</v>
      </c>
      <c r="AK219">
        <f t="shared" si="232"/>
        <v>1.0047142308518271</v>
      </c>
      <c r="AL219">
        <f t="shared" si="233"/>
        <v>9.6910113740501569E-2</v>
      </c>
      <c r="AM219" t="str">
        <f t="shared" si="214"/>
        <v>1-0,0080832852552554i</v>
      </c>
      <c r="AN219">
        <f t="shared" si="234"/>
        <v>1.0000326692166202</v>
      </c>
      <c r="AO219">
        <f t="shared" si="235"/>
        <v>-8.0831092095499501E-3</v>
      </c>
      <c r="AP219" s="41" t="str">
        <f t="shared" si="236"/>
        <v>0,748201474534241-6,00334743087297i</v>
      </c>
      <c r="AQ219">
        <f t="shared" si="237"/>
        <v>15.634809171617993</v>
      </c>
      <c r="AR219" s="43">
        <f t="shared" si="238"/>
        <v>-82.895817630846139</v>
      </c>
      <c r="AS219" t="str">
        <f t="shared" si="215"/>
        <v>-0,0000166666666666667</v>
      </c>
      <c r="AT219" t="str">
        <f t="shared" si="216"/>
        <v>9,85648404436067E-06i</v>
      </c>
      <c r="AU219">
        <f t="shared" si="239"/>
        <v>9.8564840443606697E-6</v>
      </c>
      <c r="AV219">
        <f t="shared" si="240"/>
        <v>1.5707963267948966</v>
      </c>
      <c r="AW219" t="str">
        <f t="shared" si="217"/>
        <v>1+0,045673636718902i</v>
      </c>
      <c r="AX219">
        <f t="shared" si="241"/>
        <v>1.0010424971454159</v>
      </c>
      <c r="AY219">
        <f t="shared" si="242"/>
        <v>4.5641916775030954E-2</v>
      </c>
      <c r="AZ219" t="str">
        <f t="shared" si="218"/>
        <v>1+2,12174803303263i</v>
      </c>
      <c r="BA219">
        <f t="shared" si="243"/>
        <v>2.3455947466853333</v>
      </c>
      <c r="BB219">
        <f t="shared" si="244"/>
        <v>1.1303634126871374</v>
      </c>
      <c r="BC219" s="41" t="str">
        <f t="shared" si="245"/>
        <v>-3,50319739297879+1,85093803653732i</v>
      </c>
      <c r="BD219">
        <f t="shared" si="246"/>
        <v>11.958543835437375</v>
      </c>
      <c r="BE219" s="43">
        <f t="shared" si="247"/>
        <v>152.14996366288077</v>
      </c>
      <c r="BF219" s="41" t="str">
        <f t="shared" si="248"/>
        <v>2,83394122863947+7,02518840015693i</v>
      </c>
      <c r="BG219" s="20">
        <f t="shared" si="249"/>
        <v>17.587945636622997</v>
      </c>
      <c r="BH219" s="43">
        <f t="shared" si="250"/>
        <v>68.030990434240607</v>
      </c>
      <c r="BI219" s="41" t="str">
        <f t="shared" si="203"/>
        <v>8,49072665134014+22,4157856371888i</v>
      </c>
      <c r="BJ219" s="20">
        <f t="shared" si="251"/>
        <v>27.593353007055356</v>
      </c>
      <c r="BK219" s="43">
        <f t="shared" si="204"/>
        <v>69.254146032034598</v>
      </c>
      <c r="BL219">
        <f t="shared" si="252"/>
        <v>17.587945636622997</v>
      </c>
      <c r="BM219" s="43">
        <f t="shared" si="253"/>
        <v>68.030990434240607</v>
      </c>
    </row>
    <row r="220" spans="14:65" x14ac:dyDescent="0.25">
      <c r="N220" s="9">
        <v>2</v>
      </c>
      <c r="O220" s="34">
        <f t="shared" ref="O220:O283" si="254">10^(3+(N220/100))</f>
        <v>1047.1285480509</v>
      </c>
      <c r="P220" s="33" t="str">
        <f t="shared" si="206"/>
        <v>54,631621870174</v>
      </c>
      <c r="Q220" s="4" t="str">
        <f t="shared" si="207"/>
        <v>1+29,3693503964139i</v>
      </c>
      <c r="R220" s="4">
        <f t="shared" si="219"/>
        <v>29.386370015831105</v>
      </c>
      <c r="S220" s="4">
        <f t="shared" si="220"/>
        <v>1.5367603740758298</v>
      </c>
      <c r="T220" s="4" t="str">
        <f t="shared" si="208"/>
        <v>1+0,0994790569425667i</v>
      </c>
      <c r="U220" s="4">
        <f t="shared" si="221"/>
        <v>1.0049358600279832</v>
      </c>
      <c r="V220" s="4">
        <f t="shared" si="222"/>
        <v>9.9152840726718414E-2</v>
      </c>
      <c r="W220" t="str">
        <f t="shared" si="209"/>
        <v>1-0,0261812748250064i</v>
      </c>
      <c r="X220" s="4">
        <f t="shared" si="223"/>
        <v>1.0003426708640706</v>
      </c>
      <c r="Y220" s="4">
        <f t="shared" si="224"/>
        <v>-2.6175295219270513E-2</v>
      </c>
      <c r="Z220" t="str">
        <f t="shared" si="210"/>
        <v>0,999995614087215+0,00359709540568916i</v>
      </c>
      <c r="AA220" s="4">
        <f t="shared" si="225"/>
        <v>1.0000020836423411</v>
      </c>
      <c r="AB220" s="4">
        <f t="shared" si="226"/>
        <v>3.5970956678345726E-3</v>
      </c>
      <c r="AC220" s="47" t="str">
        <f t="shared" si="227"/>
        <v>0,192929841847599-1,85890781711666i</v>
      </c>
      <c r="AD220" s="20">
        <f t="shared" si="228"/>
        <v>5.4316876916190484</v>
      </c>
      <c r="AE220" s="43">
        <f t="shared" si="229"/>
        <v>-84.074676600961709</v>
      </c>
      <c r="AF220" t="str">
        <f t="shared" si="211"/>
        <v>171,265703090588</v>
      </c>
      <c r="AG220" t="str">
        <f t="shared" si="212"/>
        <v>1+29,0882852010238i</v>
      </c>
      <c r="AH220">
        <f t="shared" si="230"/>
        <v>29.105469175673843</v>
      </c>
      <c r="AI220">
        <f t="shared" si="231"/>
        <v>1.5364317597212096</v>
      </c>
      <c r="AJ220" t="str">
        <f t="shared" si="213"/>
        <v>1+0,0994790569425667i</v>
      </c>
      <c r="AK220">
        <f t="shared" si="232"/>
        <v>1.0049358600279832</v>
      </c>
      <c r="AL220">
        <f t="shared" si="233"/>
        <v>9.9152840726718414E-2</v>
      </c>
      <c r="AM220" t="str">
        <f t="shared" si="214"/>
        <v>1-0,0082715691563092i</v>
      </c>
      <c r="AN220">
        <f t="shared" si="234"/>
        <v>1.0000342088430314</v>
      </c>
      <c r="AO220">
        <f t="shared" si="235"/>
        <v>-8.2713805202857139E-3</v>
      </c>
      <c r="AP220" s="41" t="str">
        <f t="shared" si="236"/>
        <v>0,738715022567609-5,86723873588776i</v>
      </c>
      <c r="AQ220">
        <f t="shared" si="237"/>
        <v>15.436979952580955</v>
      </c>
      <c r="AR220" s="43">
        <f t="shared" si="238"/>
        <v>-82.823931236068788</v>
      </c>
      <c r="AS220" t="str">
        <f t="shared" si="215"/>
        <v>-0,0000166666666666667</v>
      </c>
      <c r="AT220" t="str">
        <f t="shared" si="216"/>
        <v>0,0000100860710511213i</v>
      </c>
      <c r="AU220">
        <f t="shared" si="239"/>
        <v>1.00860710511213E-5</v>
      </c>
      <c r="AV220">
        <f t="shared" si="240"/>
        <v>1.5707963267948966</v>
      </c>
      <c r="AW220" t="str">
        <f t="shared" si="217"/>
        <v>1+0,0467375123864294i</v>
      </c>
      <c r="AX220">
        <f t="shared" si="241"/>
        <v>1.0010916017348621</v>
      </c>
      <c r="AY220">
        <f t="shared" si="242"/>
        <v>4.6703525855539822E-2</v>
      </c>
      <c r="AZ220" t="str">
        <f t="shared" si="218"/>
        <v>1+2,17116989358776i</v>
      </c>
      <c r="BA220">
        <f t="shared" si="243"/>
        <v>2.3903930025880444</v>
      </c>
      <c r="BB220">
        <f t="shared" si="244"/>
        <v>1.1391780089663406</v>
      </c>
      <c r="BC220" s="41" t="str">
        <f t="shared" si="245"/>
        <v>-3,50285373041991+1,81615857786975i</v>
      </c>
      <c r="BD220">
        <f t="shared" si="246"/>
        <v>11.922444343630993</v>
      </c>
      <c r="BE220" s="43">
        <f t="shared" si="247"/>
        <v>152.59417710798519</v>
      </c>
      <c r="BF220" s="41" t="str">
        <f t="shared" si="248"/>
        <v>2,70026636130037+6,8618733688924i</v>
      </c>
      <c r="BG220" s="20">
        <f t="shared" si="249"/>
        <v>17.35413203525005</v>
      </c>
      <c r="BH220" s="43">
        <f t="shared" si="250"/>
        <v>68.51950050702348</v>
      </c>
      <c r="BI220" s="41" t="str">
        <f t="shared" si="203"/>
        <v>8,06822528607405+21,893702718106i</v>
      </c>
      <c r="BJ220" s="20">
        <f t="shared" si="251"/>
        <v>27.359424296211934</v>
      </c>
      <c r="BK220" s="43">
        <f t="shared" si="204"/>
        <v>69.770245871916359</v>
      </c>
      <c r="BL220">
        <f t="shared" si="252"/>
        <v>17.35413203525005</v>
      </c>
      <c r="BM220" s="43">
        <f t="shared" si="253"/>
        <v>68.51950050702348</v>
      </c>
    </row>
    <row r="221" spans="14:65" x14ac:dyDescent="0.25">
      <c r="N221" s="9">
        <v>3</v>
      </c>
      <c r="O221" s="34">
        <f t="shared" si="254"/>
        <v>1071.5193052376069</v>
      </c>
      <c r="P221" s="33" t="str">
        <f t="shared" si="206"/>
        <v>54,631621870174</v>
      </c>
      <c r="Q221" s="4" t="str">
        <f t="shared" si="207"/>
        <v>1+30,0534504484883i</v>
      </c>
      <c r="R221" s="4">
        <f t="shared" si="219"/>
        <v>30.070082870849248</v>
      </c>
      <c r="S221" s="4">
        <f t="shared" si="220"/>
        <v>1.5375345489981538</v>
      </c>
      <c r="T221" s="4" t="str">
        <f t="shared" si="208"/>
        <v>1+0,101796221848027i</v>
      </c>
      <c r="U221" s="4">
        <f t="shared" si="221"/>
        <v>1.0051678818896537</v>
      </c>
      <c r="V221" s="4">
        <f t="shared" si="222"/>
        <v>0.10144677186274316</v>
      </c>
      <c r="W221" t="str">
        <f t="shared" si="209"/>
        <v>1-0,0267911150574056i</v>
      </c>
      <c r="X221" s="4">
        <f t="shared" si="223"/>
        <v>1.0003588175479932</v>
      </c>
      <c r="Y221" s="4">
        <f t="shared" si="224"/>
        <v>-2.6784707918539336E-2</v>
      </c>
      <c r="Z221" t="str">
        <f t="shared" si="210"/>
        <v>0,999995407385514+0,00368088252120701i</v>
      </c>
      <c r="AA221" s="4">
        <f t="shared" si="225"/>
        <v>1.0000021818417473</v>
      </c>
      <c r="AB221" s="4">
        <f t="shared" si="226"/>
        <v>3.6808828021001475E-3</v>
      </c>
      <c r="AC221" s="47" t="str">
        <f t="shared" si="227"/>
        <v>0,190091555199024-1,81693333071019i</v>
      </c>
      <c r="AD221" s="20">
        <f t="shared" si="228"/>
        <v>5.2340585779698054</v>
      </c>
      <c r="AE221" s="43">
        <f t="shared" si="229"/>
        <v>-84.027318408848529</v>
      </c>
      <c r="AF221" t="str">
        <f t="shared" si="211"/>
        <v>171,265703090588</v>
      </c>
      <c r="AG221" t="str">
        <f t="shared" si="212"/>
        <v>1+29,7658384036716i</v>
      </c>
      <c r="AH221">
        <f t="shared" si="230"/>
        <v>29.782631446423451</v>
      </c>
      <c r="AI221">
        <f t="shared" si="231"/>
        <v>1.5372133979194957</v>
      </c>
      <c r="AJ221" t="str">
        <f t="shared" si="213"/>
        <v>1+0,101796221848027i</v>
      </c>
      <c r="AK221">
        <f t="shared" si="232"/>
        <v>1.0051678818896537</v>
      </c>
      <c r="AL221">
        <f t="shared" si="233"/>
        <v>0.10144677186274316</v>
      </c>
      <c r="AM221" t="str">
        <f t="shared" si="214"/>
        <v>1-0,00846423875281683i</v>
      </c>
      <c r="AN221">
        <f t="shared" si="234"/>
        <v>1.0000358210272593</v>
      </c>
      <c r="AO221">
        <f t="shared" si="235"/>
        <v>-8.4640366260670327E-3</v>
      </c>
      <c r="AP221" s="41" t="str">
        <f t="shared" si="236"/>
        <v>0,729654545884774-5,73421159767055i</v>
      </c>
      <c r="AQ221">
        <f t="shared" si="237"/>
        <v>15.23922988584548</v>
      </c>
      <c r="AR221" s="43">
        <f t="shared" si="238"/>
        <v>-82.748321615107599</v>
      </c>
      <c r="AS221" t="str">
        <f t="shared" si="215"/>
        <v>-0,0000166666666666667</v>
      </c>
      <c r="AT221" t="str">
        <f t="shared" si="216"/>
        <v>0,0000103210058262582i</v>
      </c>
      <c r="AU221">
        <f t="shared" si="239"/>
        <v>1.0321005826258201E-5</v>
      </c>
      <c r="AV221">
        <f t="shared" si="240"/>
        <v>1.5707963267948966</v>
      </c>
      <c r="AW221" t="str">
        <f t="shared" si="217"/>
        <v>1+0,0478261689016681i</v>
      </c>
      <c r="AX221">
        <f t="shared" si="241"/>
        <v>1.0011430179708645</v>
      </c>
      <c r="AY221">
        <f t="shared" si="242"/>
        <v>4.7789753922908129E-2</v>
      </c>
      <c r="AZ221" t="str">
        <f t="shared" si="218"/>
        <v>1+2,22174293715931i</v>
      </c>
      <c r="BA221">
        <f t="shared" si="243"/>
        <v>2.4364198486339088</v>
      </c>
      <c r="BB221">
        <f t="shared" si="244"/>
        <v>1.1478616749772943</v>
      </c>
      <c r="BC221" s="41" t="str">
        <f t="shared" si="245"/>
        <v>-3,50249394380397+1,78234055962329i</v>
      </c>
      <c r="BD221">
        <f t="shared" si="246"/>
        <v>11.887654647509034</v>
      </c>
      <c r="BE221" s="43">
        <f t="shared" si="247"/>
        <v>153.02947823726495</v>
      </c>
      <c r="BF221" s="41" t="str">
        <f t="shared" si="248"/>
        <v>2,57259944860335+6,70260587598111i</v>
      </c>
      <c r="BG221" s="20">
        <f t="shared" si="249"/>
        <v>17.121713225478842</v>
      </c>
      <c r="BH221" s="43">
        <f t="shared" si="250"/>
        <v>69.002159828416424</v>
      </c>
      <c r="BI221" s="41" t="str">
        <f t="shared" si="203"/>
        <v>7,66470727996003+21,3845342849755i</v>
      </c>
      <c r="BJ221" s="20">
        <f t="shared" si="251"/>
        <v>27.126884533354499</v>
      </c>
      <c r="BK221" s="43">
        <f t="shared" si="204"/>
        <v>70.281156622157326</v>
      </c>
      <c r="BL221">
        <f t="shared" si="252"/>
        <v>17.121713225478842</v>
      </c>
      <c r="BM221" s="43">
        <f t="shared" si="253"/>
        <v>69.002159828416424</v>
      </c>
    </row>
    <row r="222" spans="14:65" x14ac:dyDescent="0.25">
      <c r="N222" s="9">
        <v>4</v>
      </c>
      <c r="O222" s="34">
        <f t="shared" si="254"/>
        <v>1096.4781961431863</v>
      </c>
      <c r="P222" s="33" t="str">
        <f t="shared" si="206"/>
        <v>54,631621870174</v>
      </c>
      <c r="Q222" s="4" t="str">
        <f t="shared" si="207"/>
        <v>1+30,753485237795i</v>
      </c>
      <c r="R222" s="4">
        <f t="shared" si="219"/>
        <v>30.769739262321917</v>
      </c>
      <c r="S222" s="4">
        <f t="shared" si="220"/>
        <v>1.5382911400904087</v>
      </c>
      <c r="T222" s="4" t="str">
        <f t="shared" si="208"/>
        <v>1+0,104167360457743i</v>
      </c>
      <c r="U222" s="4">
        <f t="shared" si="221"/>
        <v>1.0054107812156847</v>
      </c>
      <c r="V222" s="4">
        <f t="shared" si="222"/>
        <v>0.10379302680076356</v>
      </c>
      <c r="W222" t="str">
        <f t="shared" si="209"/>
        <v>1-0,0274151602936305i</v>
      </c>
      <c r="X222" s="4">
        <f t="shared" si="223"/>
        <v>1.0003757249223542</v>
      </c>
      <c r="Y222" s="4">
        <f t="shared" si="224"/>
        <v>-2.7408295059899456E-2</v>
      </c>
      <c r="Z222" t="str">
        <f t="shared" si="210"/>
        <v>0,999995190942262+0,00376662128935985i</v>
      </c>
      <c r="AA222" s="4">
        <f t="shared" si="225"/>
        <v>1.0000022846691845</v>
      </c>
      <c r="AB222" s="4">
        <f t="shared" si="226"/>
        <v>3.7666215903414458E-3</v>
      </c>
      <c r="AC222" s="47" t="str">
        <f t="shared" si="227"/>
        <v>0,187380655748237-1,77591371443795i</v>
      </c>
      <c r="AD222" s="20">
        <f t="shared" si="228"/>
        <v>5.0365193597671931</v>
      </c>
      <c r="AE222" s="43">
        <f t="shared" si="229"/>
        <v>-83.976878761707027</v>
      </c>
      <c r="AF222" t="str">
        <f t="shared" si="211"/>
        <v>171,265703090588</v>
      </c>
      <c r="AG222" t="str">
        <f t="shared" si="212"/>
        <v>1+30,4591738478385i</v>
      </c>
      <c r="AH222">
        <f t="shared" si="230"/>
        <v>30.475584842507104</v>
      </c>
      <c r="AI222">
        <f t="shared" si="231"/>
        <v>1.5379772835291894</v>
      </c>
      <c r="AJ222" t="str">
        <f t="shared" si="213"/>
        <v>1+0,104167360457743i</v>
      </c>
      <c r="AK222">
        <f t="shared" si="232"/>
        <v>1.0054107812156847</v>
      </c>
      <c r="AL222">
        <f t="shared" si="233"/>
        <v>0.10379302680076356</v>
      </c>
      <c r="AM222" t="str">
        <f t="shared" si="214"/>
        <v>1-0,00866139620074865i</v>
      </c>
      <c r="AN222">
        <f t="shared" si="234"/>
        <v>1.0000375091886036</v>
      </c>
      <c r="AO222">
        <f t="shared" si="235"/>
        <v>-8.6611796184728786E-3</v>
      </c>
      <c r="AP222" s="41" t="str">
        <f t="shared" si="236"/>
        <v>0,721000958999814-5,60419743681491i</v>
      </c>
      <c r="AQ222">
        <f t="shared" si="237"/>
        <v>15.04156361493877</v>
      </c>
      <c r="AR222" s="43">
        <f t="shared" si="238"/>
        <v>-82.66895399238895</v>
      </c>
      <c r="AS222" t="str">
        <f t="shared" si="215"/>
        <v>-0,0000166666666666667</v>
      </c>
      <c r="AT222" t="str">
        <f t="shared" si="216"/>
        <v>0,0000105614129352989i</v>
      </c>
      <c r="AU222">
        <f t="shared" si="239"/>
        <v>1.05614129352989E-5</v>
      </c>
      <c r="AV222">
        <f t="shared" si="240"/>
        <v>1.5707963267948966</v>
      </c>
      <c r="AW222" t="str">
        <f t="shared" si="217"/>
        <v>1+0,0489401834847127i</v>
      </c>
      <c r="AX222">
        <f t="shared" si="241"/>
        <v>1.0011968545493526</v>
      </c>
      <c r="AY222">
        <f t="shared" si="242"/>
        <v>4.8901166650756028E-2</v>
      </c>
      <c r="AZ222" t="str">
        <f t="shared" si="218"/>
        <v>1+2,27349397824438i</v>
      </c>
      <c r="BA222">
        <f t="shared" si="243"/>
        <v>2.483701847870122</v>
      </c>
      <c r="BB222">
        <f t="shared" si="244"/>
        <v>1.1564137754732149</v>
      </c>
      <c r="BC222" s="41" t="str">
        <f t="shared" si="245"/>
        <v>-3,50211728017474+1,74946594347789i</v>
      </c>
      <c r="BD222">
        <f t="shared" si="246"/>
        <v>11.854134206229276</v>
      </c>
      <c r="BE222" s="43">
        <f t="shared" si="247"/>
        <v>153.45579824305014</v>
      </c>
      <c r="BF222" s="41" t="str">
        <f t="shared" si="248"/>
        <v>2,45067152949814+6,54727418313055i</v>
      </c>
      <c r="BG222" s="20">
        <f t="shared" si="249"/>
        <v>16.890653565996473</v>
      </c>
      <c r="BH222" s="43">
        <f t="shared" si="250"/>
        <v>69.478919481343112</v>
      </c>
      <c r="BI222" s="41" t="str">
        <f t="shared" si="203"/>
        <v>7,27932263869796+20,8879233079656i</v>
      </c>
      <c r="BJ222" s="20">
        <f t="shared" si="251"/>
        <v>26.895697821168064</v>
      </c>
      <c r="BK222" s="43">
        <f t="shared" si="204"/>
        <v>70.786844250661247</v>
      </c>
      <c r="BL222">
        <f t="shared" si="252"/>
        <v>16.890653565996473</v>
      </c>
      <c r="BM222" s="43">
        <f t="shared" si="253"/>
        <v>69.478919481343112</v>
      </c>
    </row>
    <row r="223" spans="14:65" x14ac:dyDescent="0.25">
      <c r="N223" s="9">
        <v>5</v>
      </c>
      <c r="O223" s="34">
        <f t="shared" si="254"/>
        <v>1122.0184543019636</v>
      </c>
      <c r="P223" s="33" t="str">
        <f t="shared" si="206"/>
        <v>54,631621870174</v>
      </c>
      <c r="Q223" s="4" t="str">
        <f t="shared" si="207"/>
        <v>1+31,4698259320452i</v>
      </c>
      <c r="R223" s="4">
        <f t="shared" si="219"/>
        <v>31.485710158629491</v>
      </c>
      <c r="S223" s="4">
        <f t="shared" si="220"/>
        <v>1.5390305450404618</v>
      </c>
      <c r="T223" s="4" t="str">
        <f t="shared" si="208"/>
        <v>1+0,106593729980791i</v>
      </c>
      <c r="U223" s="4">
        <f t="shared" si="221"/>
        <v>1.0056650651540093</v>
      </c>
      <c r="V223" s="4">
        <f t="shared" si="222"/>
        <v>0.10619274617226847</v>
      </c>
      <c r="W223" t="str">
        <f t="shared" si="209"/>
        <v>1-0,0280537414107257i</v>
      </c>
      <c r="X223" s="4">
        <f t="shared" si="223"/>
        <v>1.0003934288104555</v>
      </c>
      <c r="Y223" s="4">
        <f t="shared" si="224"/>
        <v>-2.8046385336487435E-2</v>
      </c>
      <c r="Z223" t="str">
        <f t="shared" si="210"/>
        <v>0,999994964298353+0,00385435716997743i</v>
      </c>
      <c r="AA223" s="4">
        <f t="shared" si="225"/>
        <v>1.0000023923427672</v>
      </c>
      <c r="AB223" s="4">
        <f t="shared" si="226"/>
        <v>3.8543574924841E-3</v>
      </c>
      <c r="AC223" s="47" t="str">
        <f t="shared" si="227"/>
        <v>0,184791430585684-1,73582778474707i</v>
      </c>
      <c r="AD223" s="20">
        <f t="shared" si="228"/>
        <v>4.8390751152089972</v>
      </c>
      <c r="AE223" s="43">
        <f t="shared" si="229"/>
        <v>-83.923336529394476</v>
      </c>
      <c r="AF223" t="str">
        <f t="shared" si="211"/>
        <v>171,265703090588</v>
      </c>
      <c r="AG223" t="str">
        <f t="shared" si="212"/>
        <v>1+31,1686591491543i</v>
      </c>
      <c r="AH223">
        <f t="shared" si="230"/>
        <v>31.184696778326387</v>
      </c>
      <c r="AI223">
        <f t="shared" si="231"/>
        <v>1.5387238180045664</v>
      </c>
      <c r="AJ223" t="str">
        <f t="shared" si="213"/>
        <v>1+0,106593729980791i</v>
      </c>
      <c r="AK223">
        <f t="shared" si="232"/>
        <v>1.0056650651540093</v>
      </c>
      <c r="AL223">
        <f t="shared" si="233"/>
        <v>0.10619274617226847</v>
      </c>
      <c r="AM223" t="str">
        <f t="shared" si="214"/>
        <v>1-0,00886314603559324i</v>
      </c>
      <c r="AN223">
        <f t="shared" si="234"/>
        <v>1.0000392769074864</v>
      </c>
      <c r="AO223">
        <f t="shared" si="235"/>
        <v>-8.8629139639958519E-3</v>
      </c>
      <c r="AP223" s="41" t="str">
        <f t="shared" si="236"/>
        <v>0,712736027817304-5,4771291415317i</v>
      </c>
      <c r="AQ223">
        <f t="shared" si="237"/>
        <v>14.843985949183789</v>
      </c>
      <c r="AR223" s="43">
        <f t="shared" si="238"/>
        <v>-82.585792001667372</v>
      </c>
      <c r="AS223" t="str">
        <f t="shared" si="215"/>
        <v>-0,0000166666666666667</v>
      </c>
      <c r="AT223" t="str">
        <f t="shared" si="216"/>
        <v>0,0000108074198452747i</v>
      </c>
      <c r="AU223">
        <f t="shared" si="239"/>
        <v>1.08074198452747E-5</v>
      </c>
      <c r="AV223">
        <f t="shared" si="240"/>
        <v>1.5707963267948966</v>
      </c>
      <c r="AW223" t="str">
        <f t="shared" si="217"/>
        <v>1+0,0500801468008408i</v>
      </c>
      <c r="AX223">
        <f t="shared" si="241"/>
        <v>1.0012532252650144</v>
      </c>
      <c r="AY223">
        <f t="shared" si="242"/>
        <v>5.0038342335705137E-2</v>
      </c>
      <c r="AZ223" t="str">
        <f t="shared" si="218"/>
        <v>1+2,32645045592997i</v>
      </c>
      <c r="BA223">
        <f t="shared" si="243"/>
        <v>2.5322661242248543</v>
      </c>
      <c r="BB223">
        <f t="shared" si="244"/>
        <v>1.1648338399499312</v>
      </c>
      <c r="BC223" s="41" t="str">
        <f t="shared" si="245"/>
        <v>-3,50172295175684+1,71751718368592i</v>
      </c>
      <c r="BD223">
        <f t="shared" si="246"/>
        <v>11.821842870709336</v>
      </c>
      <c r="BE223" s="43">
        <f t="shared" si="247"/>
        <v>153.87307703348171</v>
      </c>
      <c r="BF223" s="41" t="str">
        <f t="shared" si="248"/>
        <v>2,33422565445269+6,39577045157486i</v>
      </c>
      <c r="BG223" s="20">
        <f t="shared" si="249"/>
        <v>16.660917985918331</v>
      </c>
      <c r="BH223" s="43">
        <f t="shared" si="250"/>
        <v>69.949740504087202</v>
      </c>
      <c r="BI223" s="41" t="str">
        <f t="shared" si="203"/>
        <v>6,91125931069575+20,4035251998461i</v>
      </c>
      <c r="BJ223" s="20">
        <f t="shared" si="251"/>
        <v>26.665828819893139</v>
      </c>
      <c r="BK223" s="43">
        <f t="shared" si="204"/>
        <v>71.287285031814378</v>
      </c>
      <c r="BL223">
        <f t="shared" si="252"/>
        <v>16.660917985918331</v>
      </c>
      <c r="BM223" s="43">
        <f t="shared" si="253"/>
        <v>69.949740504087202</v>
      </c>
    </row>
    <row r="224" spans="14:65" x14ac:dyDescent="0.25">
      <c r="N224" s="9">
        <v>6</v>
      </c>
      <c r="O224" s="34">
        <f t="shared" si="254"/>
        <v>1148.1536214968839</v>
      </c>
      <c r="P224" s="33" t="str">
        <f t="shared" si="206"/>
        <v>54,631621870174</v>
      </c>
      <c r="Q224" s="4" t="str">
        <f t="shared" si="207"/>
        <v>1+32,202852344557i</v>
      </c>
      <c r="R224" s="4">
        <f t="shared" si="219"/>
        <v>32.218375178232378</v>
      </c>
      <c r="S224" s="4">
        <f t="shared" si="220"/>
        <v>1.5397531526547779</v>
      </c>
      <c r="T224" s="4" t="str">
        <f t="shared" si="208"/>
        <v>1+0,109076616910411i</v>
      </c>
      <c r="U224" s="4">
        <f t="shared" si="221"/>
        <v>1.0059312642306235</v>
      </c>
      <c r="V224" s="4">
        <f t="shared" si="222"/>
        <v>0.10864709172669723</v>
      </c>
      <c r="W224" t="str">
        <f t="shared" si="209"/>
        <v>1-0,028707196992852i</v>
      </c>
      <c r="X224" s="4">
        <f t="shared" si="223"/>
        <v>1.0004119667213034</v>
      </c>
      <c r="Y224" s="4">
        <f t="shared" si="224"/>
        <v>-2.8699314992589479E-2</v>
      </c>
      <c r="Z224" t="str">
        <f t="shared" si="210"/>
        <v>0,999994726973046+0,00394413668178499i</v>
      </c>
      <c r="AA224" s="4">
        <f t="shared" si="225"/>
        <v>1.0000025050908929</v>
      </c>
      <c r="AB224" s="4">
        <f t="shared" si="226"/>
        <v>3.9441370273560787E-3</v>
      </c>
      <c r="AC224" s="47" t="str">
        <f t="shared" si="227"/>
        <v>0,182318421616421-1,69665481551358i</v>
      </c>
      <c r="AD224" s="20">
        <f t="shared" si="228"/>
        <v>4.6417311107735628</v>
      </c>
      <c r="AE224" s="43">
        <f t="shared" si="229"/>
        <v>-83.866669356251748</v>
      </c>
      <c r="AF224" t="str">
        <f t="shared" si="211"/>
        <v>171,265703090588</v>
      </c>
      <c r="AG224" t="str">
        <f t="shared" si="212"/>
        <v>1+31,894670486117i</v>
      </c>
      <c r="AH224">
        <f t="shared" si="230"/>
        <v>31.910343235665497</v>
      </c>
      <c r="AI224">
        <f t="shared" si="231"/>
        <v>1.5394533938377528</v>
      </c>
      <c r="AJ224" t="str">
        <f t="shared" si="213"/>
        <v>1+0,109076616910411i</v>
      </c>
      <c r="AK224">
        <f t="shared" si="232"/>
        <v>1.0059312642306235</v>
      </c>
      <c r="AL224">
        <f t="shared" si="233"/>
        <v>0.10864709172669723</v>
      </c>
      <c r="AM224" t="str">
        <f t="shared" si="214"/>
        <v>1-0,00906959522778352i</v>
      </c>
      <c r="AN224">
        <f t="shared" si="234"/>
        <v>1.0000411279330446</v>
      </c>
      <c r="AO224">
        <f t="shared" si="235"/>
        <v>-9.0693465591390552E-3</v>
      </c>
      <c r="AP224" s="41" t="str">
        <f t="shared" si="236"/>
        <v>0,704842331979591-5,35294104068444i</v>
      </c>
      <c r="AQ224">
        <f t="shared" si="237"/>
        <v>14.64650187274593</v>
      </c>
      <c r="AR224" s="43">
        <f t="shared" si="238"/>
        <v>-82.498797692463867</v>
      </c>
      <c r="AS224" t="str">
        <f t="shared" si="215"/>
        <v>-0,0000166666666666667</v>
      </c>
      <c r="AT224" t="str">
        <f t="shared" si="216"/>
        <v>0,0000110591569923055i</v>
      </c>
      <c r="AU224">
        <f t="shared" si="239"/>
        <v>1.10591569923055E-5</v>
      </c>
      <c r="AV224">
        <f t="shared" si="240"/>
        <v>1.5707963267948966</v>
      </c>
      <c r="AW224" t="str">
        <f t="shared" si="217"/>
        <v>1+0,0512466632736918i</v>
      </c>
      <c r="AX224">
        <f t="shared" si="241"/>
        <v>1.0013122492492974</v>
      </c>
      <c r="AY224">
        <f t="shared" si="242"/>
        <v>5.1201872152194773E-2</v>
      </c>
      <c r="AZ224" t="str">
        <f t="shared" si="218"/>
        <v>1+2,3806404484415i</v>
      </c>
      <c r="BA224">
        <f t="shared" si="243"/>
        <v>2.5821403805284766</v>
      </c>
      <c r="BB224">
        <f t="shared" si="244"/>
        <v>1.1731215560960446</v>
      </c>
      <c r="BC224" s="41" t="str">
        <f t="shared" si="245"/>
        <v>-3,50131013437862+1,68647721723075i</v>
      </c>
      <c r="BD224">
        <f t="shared" si="246"/>
        <v>11.790740936059414</v>
      </c>
      <c r="BE224" s="43">
        <f t="shared" si="247"/>
        <v>154.28126284263377</v>
      </c>
      <c r="BF224" s="41" t="str">
        <f t="shared" si="248"/>
        <v>2,22301635457901+6,24799056443755i</v>
      </c>
      <c r="BG224" s="20">
        <f t="shared" si="249"/>
        <v>16.432472046832977</v>
      </c>
      <c r="BH224" s="43">
        <f t="shared" si="250"/>
        <v>70.414593486382003</v>
      </c>
      <c r="BI224" s="41" t="str">
        <f t="shared" si="203"/>
        <v>6,55974151019457+19,931007249103i</v>
      </c>
      <c r="BJ224" s="20">
        <f t="shared" si="251"/>
        <v>26.43724280880533</v>
      </c>
      <c r="BK224" s="43">
        <f t="shared" si="204"/>
        <v>71.782465150169884</v>
      </c>
      <c r="BL224">
        <f t="shared" si="252"/>
        <v>16.432472046832977</v>
      </c>
      <c r="BM224" s="43">
        <f t="shared" si="253"/>
        <v>70.414593486382003</v>
      </c>
    </row>
    <row r="225" spans="14:65" x14ac:dyDescent="0.25">
      <c r="N225" s="9">
        <v>7</v>
      </c>
      <c r="O225" s="34">
        <f t="shared" si="254"/>
        <v>1174.8975549395295</v>
      </c>
      <c r="P225" s="33" t="str">
        <f t="shared" si="206"/>
        <v>54,631621870174</v>
      </c>
      <c r="Q225" s="4" t="str">
        <f t="shared" si="207"/>
        <v>1+32,952953135637i</v>
      </c>
      <c r="R225" s="4">
        <f t="shared" si="219"/>
        <v>32.968122790955029</v>
      </c>
      <c r="S225" s="4">
        <f t="shared" si="220"/>
        <v>1.5404593430492077</v>
      </c>
      <c r="T225" s="4" t="str">
        <f t="shared" si="208"/>
        <v>1+0,111617337706116i</v>
      </c>
      <c r="U225" s="4">
        <f t="shared" si="221"/>
        <v>1.0062099334018726</v>
      </c>
      <c r="V225" s="4">
        <f t="shared" si="222"/>
        <v>0.11115724645003204</v>
      </c>
      <c r="W225" t="str">
        <f t="shared" si="209"/>
        <v>1-0,0293758735108086i</v>
      </c>
      <c r="X225" s="4">
        <f t="shared" si="223"/>
        <v>1.0004313779288028</v>
      </c>
      <c r="Y225" s="4">
        <f t="shared" si="224"/>
        <v>-2.9367427992036479E-2</v>
      </c>
      <c r="Z225" t="str">
        <f t="shared" si="210"/>
        <v>0,999994478462942+0,00403600742706804i</v>
      </c>
      <c r="AA225" s="4">
        <f t="shared" si="225"/>
        <v>1.000002623152721</v>
      </c>
      <c r="AB225" s="4">
        <f t="shared" si="226"/>
        <v>4.036007797352973E-3</v>
      </c>
      <c r="AC225" s="47" t="str">
        <f t="shared" si="227"/>
        <v>0,179956414269884-1,65837452955025i</v>
      </c>
      <c r="AD225" s="20">
        <f t="shared" si="228"/>
        <v>4.4444928111250084</v>
      </c>
      <c r="AE225" s="43">
        <f t="shared" si="229"/>
        <v>-83.80685367630096</v>
      </c>
      <c r="AF225" t="str">
        <f t="shared" si="211"/>
        <v>171,265703090588</v>
      </c>
      <c r="AG225" t="str">
        <f t="shared" si="212"/>
        <v>1+32,6375927995473i</v>
      </c>
      <c r="AH225">
        <f t="shared" si="230"/>
        <v>32.652908963047409</v>
      </c>
      <c r="AI225">
        <f t="shared" si="231"/>
        <v>1.5401663947510218</v>
      </c>
      <c r="AJ225" t="str">
        <f t="shared" si="213"/>
        <v>1+0,111617337706116i</v>
      </c>
      <c r="AK225">
        <f t="shared" si="232"/>
        <v>1.0062099334018726</v>
      </c>
      <c r="AL225">
        <f t="shared" si="233"/>
        <v>0.11115724645003204</v>
      </c>
      <c r="AM225" t="str">
        <f t="shared" si="214"/>
        <v>1-0,00928085323941383i</v>
      </c>
      <c r="AN225">
        <f t="shared" si="234"/>
        <v>1.0000430661910773</v>
      </c>
      <c r="AO225">
        <f t="shared" si="235"/>
        <v>-9.2805867867804086E-3</v>
      </c>
      <c r="AP225" s="41" t="str">
        <f t="shared" si="236"/>
        <v>0,69730322885037-5,23156887701911i</v>
      </c>
      <c r="AQ225">
        <f t="shared" si="237"/>
        <v>14.449116553945769</v>
      </c>
      <c r="AR225" s="43">
        <f t="shared" si="238"/>
        <v>-82.407931537518451</v>
      </c>
      <c r="AS225" t="str">
        <f t="shared" si="215"/>
        <v>-0,0000166666666666667</v>
      </c>
      <c r="AT225" t="str">
        <f t="shared" si="216"/>
        <v>0,0000113167578507589i</v>
      </c>
      <c r="AU225">
        <f t="shared" si="239"/>
        <v>1.13167578507589E-5</v>
      </c>
      <c r="AV225">
        <f t="shared" si="240"/>
        <v>1.5707963267948966</v>
      </c>
      <c r="AW225" t="str">
        <f t="shared" si="217"/>
        <v>1+0,0524403514057403i</v>
      </c>
      <c r="AX225">
        <f t="shared" si="241"/>
        <v>1.001374051219402</v>
      </c>
      <c r="AY225">
        <f t="shared" si="242"/>
        <v>5.2392360410472037E-2</v>
      </c>
      <c r="AZ225" t="str">
        <f t="shared" si="218"/>
        <v>1+2,4360926880303i</v>
      </c>
      <c r="BA225">
        <f t="shared" si="243"/>
        <v>2.6333529168485366</v>
      </c>
      <c r="BB225">
        <f t="shared" si="244"/>
        <v>1.1812767631004994</v>
      </c>
      <c r="BC225" s="41" t="str">
        <f t="shared" si="245"/>
        <v>-3,50087796582671+1,65632945420348i</v>
      </c>
      <c r="BD225">
        <f t="shared" si="246"/>
        <v>11.760789189085559</v>
      </c>
      <c r="BE225" s="43">
        <f t="shared" si="247"/>
        <v>154.68031183228553</v>
      </c>
      <c r="BF225" s="41" t="str">
        <f t="shared" si="248"/>
        <v>2,1168091338683+6,10383395901876i</v>
      </c>
      <c r="BG225" s="20">
        <f t="shared" si="249"/>
        <v>16.205282000210566</v>
      </c>
      <c r="BH225" s="43">
        <f t="shared" si="250"/>
        <v>70.873458155984551</v>
      </c>
      <c r="BI225" s="41" t="str">
        <f t="shared" si="203"/>
        <v>6,22402811331889+19,470048084717i</v>
      </c>
      <c r="BJ225" s="20">
        <f t="shared" si="251"/>
        <v>26.209905743031307</v>
      </c>
      <c r="BK225" s="43">
        <f t="shared" si="204"/>
        <v>72.272380294767061</v>
      </c>
      <c r="BL225">
        <f t="shared" si="252"/>
        <v>16.205282000210566</v>
      </c>
      <c r="BM225" s="43">
        <f t="shared" si="253"/>
        <v>70.873458155984551</v>
      </c>
    </row>
    <row r="226" spans="14:65" x14ac:dyDescent="0.25">
      <c r="N226" s="9">
        <v>8</v>
      </c>
      <c r="O226" s="34">
        <f t="shared" si="254"/>
        <v>1202.2644346174138</v>
      </c>
      <c r="P226" s="33" t="str">
        <f t="shared" si="206"/>
        <v>54,631621870174</v>
      </c>
      <c r="Q226" s="4" t="str">
        <f t="shared" si="207"/>
        <v>1+33,7205260186535i</v>
      </c>
      <c r="R226" s="4">
        <f t="shared" si="219"/>
        <v>33.735350523963547</v>
      </c>
      <c r="S226" s="4">
        <f t="shared" si="220"/>
        <v>1.5411494878361904</v>
      </c>
      <c r="T226" s="4" t="str">
        <f t="shared" si="208"/>
        <v>1+0,114217239491703i</v>
      </c>
      <c r="U226" s="4">
        <f t="shared" si="221"/>
        <v>1.0065016531516999</v>
      </c>
      <c r="V226" s="4">
        <f t="shared" si="222"/>
        <v>0.11372441466142807</v>
      </c>
      <c r="W226" t="str">
        <f t="shared" si="209"/>
        <v>1-0,0300601255057363i</v>
      </c>
      <c r="X226" s="4">
        <f t="shared" si="223"/>
        <v>1.0004517035546596</v>
      </c>
      <c r="Y226" s="4">
        <f t="shared" si="224"/>
        <v>-3.0051076189987501E-2</v>
      </c>
      <c r="Z226" t="str">
        <f t="shared" si="210"/>
        <v>0,999994218240917+0,00413001811691181i</v>
      </c>
      <c r="AA226" s="4">
        <f t="shared" si="225"/>
        <v>1.0000027467786821</v>
      </c>
      <c r="AB226" s="4">
        <f t="shared" si="226"/>
        <v>4.1300185136779639E-3</v>
      </c>
      <c r="AC226" s="47" t="str">
        <f t="shared" si="227"/>
        <v>0,177700426701067-1,62096709018738i</v>
      </c>
      <c r="AD226" s="20">
        <f t="shared" si="228"/>
        <v>4.2473658893235804</v>
      </c>
      <c r="AE226" s="43">
        <f t="shared" si="229"/>
        <v>-83.743864729723569</v>
      </c>
      <c r="AF226" t="str">
        <f t="shared" si="211"/>
        <v>171,265703090588</v>
      </c>
      <c r="AG226" t="str">
        <f t="shared" si="212"/>
        <v>1+33,3978199966896i</v>
      </c>
      <c r="AH226">
        <f t="shared" si="230"/>
        <v>33.412787679738422</v>
      </c>
      <c r="AI226">
        <f t="shared" si="231"/>
        <v>1.5408631958854888</v>
      </c>
      <c r="AJ226" t="str">
        <f t="shared" si="213"/>
        <v>1+0,114217239491703i</v>
      </c>
      <c r="AK226">
        <f t="shared" si="232"/>
        <v>1.0065016531516999</v>
      </c>
      <c r="AL226">
        <f t="shared" si="233"/>
        <v>0.11372441466142807</v>
      </c>
      <c r="AM226" t="str">
        <f t="shared" si="214"/>
        <v>1-0,00949703208227833i</v>
      </c>
      <c r="AN226">
        <f t="shared" si="234"/>
        <v>1.0000450957923708</v>
      </c>
      <c r="AO226">
        <f t="shared" si="235"/>
        <v>-9.4967465738330301E-3</v>
      </c>
      <c r="AP226" s="41" t="str">
        <f t="shared" si="236"/>
        <v>0,690102819066124-5,11294978061115i</v>
      </c>
      <c r="AQ226">
        <f t="shared" si="237"/>
        <v>14.251835354847135</v>
      </c>
      <c r="AR226" s="43">
        <f t="shared" si="238"/>
        <v>-82.313152441368786</v>
      </c>
      <c r="AS226" t="str">
        <f t="shared" si="215"/>
        <v>-0,0000166666666666667</v>
      </c>
      <c r="AT226" t="str">
        <f t="shared" si="216"/>
        <v>0,0000115803590040198i</v>
      </c>
      <c r="AU226">
        <f t="shared" si="239"/>
        <v>1.1580359004019799E-5</v>
      </c>
      <c r="AV226">
        <f t="shared" si="240"/>
        <v>1.5707963267948966</v>
      </c>
      <c r="AW226" t="str">
        <f t="shared" si="217"/>
        <v>1+0,0536618441062343i</v>
      </c>
      <c r="AX226">
        <f t="shared" si="241"/>
        <v>1.0014387617387703</v>
      </c>
      <c r="AY226">
        <f t="shared" si="242"/>
        <v>5.3610424817637732E-2</v>
      </c>
      <c r="AZ226" t="str">
        <f t="shared" si="218"/>
        <v>1+2,49283657620779i</v>
      </c>
      <c r="BA226">
        <f t="shared" si="243"/>
        <v>2.6859326491331417</v>
      </c>
      <c r="BB226">
        <f t="shared" si="244"/>
        <v>1.1892994448599024</v>
      </c>
      <c r="BC226" s="41" t="str">
        <f t="shared" si="245"/>
        <v>-3,50042554412959+1,62705776839062i</v>
      </c>
      <c r="BD226">
        <f t="shared" si="246"/>
        <v>11.731948950960804</v>
      </c>
      <c r="BE226" s="43">
        <f t="shared" si="247"/>
        <v>155.0701876877701</v>
      </c>
      <c r="BF226" s="41" t="str">
        <f t="shared" si="248"/>
        <v>2,01537998356777+5,96320346839562i</v>
      </c>
      <c r="BG226" s="20">
        <f t="shared" si="249"/>
        <v>15.979314840284392</v>
      </c>
      <c r="BH226" s="43">
        <f t="shared" si="250"/>
        <v>71.326322958046561</v>
      </c>
      <c r="BI226" s="41" t="str">
        <f t="shared" si="203"/>
        <v>5,90341112399959+19,0203371706529i</v>
      </c>
      <c r="BJ226" s="20">
        <f t="shared" si="251"/>
        <v>25.983784305807959</v>
      </c>
      <c r="BK226" s="43">
        <f t="shared" si="204"/>
        <v>72.75703524640133</v>
      </c>
      <c r="BL226">
        <f t="shared" si="252"/>
        <v>15.979314840284392</v>
      </c>
      <c r="BM226" s="43">
        <f t="shared" si="253"/>
        <v>71.326322958046561</v>
      </c>
    </row>
    <row r="227" spans="14:65" x14ac:dyDescent="0.25">
      <c r="N227" s="9">
        <v>9</v>
      </c>
      <c r="O227" s="34">
        <f t="shared" si="254"/>
        <v>1230.2687708123824</v>
      </c>
      <c r="P227" s="33" t="str">
        <f t="shared" si="206"/>
        <v>54,631621870174</v>
      </c>
      <c r="Q227" s="4" t="str">
        <f t="shared" si="207"/>
        <v>1+34,505977970909i</v>
      </c>
      <c r="R227" s="4">
        <f t="shared" si="219"/>
        <v>34.520465172544498</v>
      </c>
      <c r="S227" s="4">
        <f t="shared" si="220"/>
        <v>1.5418239503083953</v>
      </c>
      <c r="T227" s="4" t="str">
        <f t="shared" si="208"/>
        <v>1+0,116877700769512i</v>
      </c>
      <c r="U227" s="4">
        <f t="shared" si="221"/>
        <v>1.0068070306355472</v>
      </c>
      <c r="V227" s="4">
        <f t="shared" si="222"/>
        <v>0.11634982208580695</v>
      </c>
      <c r="W227" t="str">
        <f t="shared" si="209"/>
        <v>1-0,0307603157770999i</v>
      </c>
      <c r="X227" s="4">
        <f t="shared" si="223"/>
        <v>1.0004729866551654</v>
      </c>
      <c r="Y227" s="4">
        <f t="shared" si="224"/>
        <v>-3.0750619508143819E-2</v>
      </c>
      <c r="Z227" t="str">
        <f t="shared" si="210"/>
        <v>0,999993945755006+0,00422621859702841i</v>
      </c>
      <c r="AA227" s="4">
        <f t="shared" si="225"/>
        <v>1.0000028762310116</v>
      </c>
      <c r="AB227" s="4">
        <f t="shared" si="226"/>
        <v>4.2262190221695438E-3</v>
      </c>
      <c r="AC227" s="47" t="str">
        <f t="shared" si="227"/>
        <v>0,175545699462365-1,58441309293281i</v>
      </c>
      <c r="AD227" s="20">
        <f t="shared" si="228"/>
        <v>4.0503562373514033</v>
      </c>
      <c r="AE227" s="43">
        <f t="shared" si="229"/>
        <v>-83.677676580742201</v>
      </c>
      <c r="AF227" t="str">
        <f t="shared" si="211"/>
        <v>171,265703090588</v>
      </c>
      <c r="AG227" t="str">
        <f t="shared" si="212"/>
        <v>1+34,1757551600665i</v>
      </c>
      <c r="AH227">
        <f t="shared" si="230"/>
        <v>34.190382284508196</v>
      </c>
      <c r="AI227">
        <f t="shared" si="231"/>
        <v>1.5415441639862371</v>
      </c>
      <c r="AJ227" t="str">
        <f t="shared" si="213"/>
        <v>1+0,116877700769512i</v>
      </c>
      <c r="AK227">
        <f t="shared" si="232"/>
        <v>1.0068070306355472</v>
      </c>
      <c r="AL227">
        <f t="shared" si="233"/>
        <v>0.11634982208580695</v>
      </c>
      <c r="AM227" t="str">
        <f t="shared" si="214"/>
        <v>1-0,0097182463772609i</v>
      </c>
      <c r="AN227">
        <f t="shared" si="234"/>
        <v>1.0000472210414113</v>
      </c>
      <c r="AO227">
        <f t="shared" si="235"/>
        <v>-9.717940450230134E-3</v>
      </c>
      <c r="AP227" s="41" t="str">
        <f t="shared" si="236"/>
        <v>0,683225913589377-4,9970222425506i</v>
      </c>
      <c r="AQ227">
        <f t="shared" si="237"/>
        <v>14.054663841130123</v>
      </c>
      <c r="AR227" s="43">
        <f t="shared" si="238"/>
        <v>-82.214417750177162</v>
      </c>
      <c r="AS227" t="str">
        <f t="shared" si="215"/>
        <v>-0,0000166666666666667</v>
      </c>
      <c r="AT227" t="str">
        <f t="shared" si="216"/>
        <v>0,0000118501002169088i</v>
      </c>
      <c r="AU227">
        <f t="shared" si="239"/>
        <v>1.18501002169088E-5</v>
      </c>
      <c r="AV227">
        <f t="shared" si="240"/>
        <v>1.5707963267948966</v>
      </c>
      <c r="AW227" t="str">
        <f t="shared" si="217"/>
        <v>1+0,0549117890267718i</v>
      </c>
      <c r="AX227">
        <f t="shared" si="241"/>
        <v>1.0015065174895872</v>
      </c>
      <c r="AY227">
        <f t="shared" si="242"/>
        <v>5.485669674161351E-2</v>
      </c>
      <c r="AZ227" t="str">
        <f t="shared" si="218"/>
        <v>1+2,55090219933458i</v>
      </c>
      <c r="BA227">
        <f t="shared" si="243"/>
        <v>2.7399091281591801</v>
      </c>
      <c r="BB227">
        <f t="shared" si="244"/>
        <v>1.1971897231251947</v>
      </c>
      <c r="BC227" s="41" t="str">
        <f t="shared" si="245"/>
        <v>-3,49995192576782+1,59864648806443i</v>
      </c>
      <c r="BD227">
        <f t="shared" si="246"/>
        <v>11.70418211518478</v>
      </c>
      <c r="BE227" s="43">
        <f t="shared" si="247"/>
        <v>155.45086121018571</v>
      </c>
      <c r="BF227" s="41" t="str">
        <f t="shared" si="248"/>
        <v>1,91851491776677+5,82600517176226i</v>
      </c>
      <c r="BG227" s="20">
        <f t="shared" si="249"/>
        <v>15.75453835253618</v>
      </c>
      <c r="BH227" s="43">
        <f t="shared" si="250"/>
        <v>71.773184629443577</v>
      </c>
      <c r="BI227" s="41" t="str">
        <f t="shared" si="203"/>
        <v>5,59721420683174+18,5815743282339i</v>
      </c>
      <c r="BJ227" s="20">
        <f t="shared" si="251"/>
        <v>25.758845956314914</v>
      </c>
      <c r="BK227" s="43">
        <f t="shared" si="204"/>
        <v>73.236443460008587</v>
      </c>
      <c r="BL227">
        <f t="shared" si="252"/>
        <v>15.75453835253618</v>
      </c>
      <c r="BM227" s="43">
        <f t="shared" si="253"/>
        <v>71.773184629443577</v>
      </c>
    </row>
    <row r="228" spans="14:65" x14ac:dyDescent="0.25">
      <c r="N228" s="9">
        <v>10</v>
      </c>
      <c r="O228" s="34">
        <f t="shared" si="254"/>
        <v>1258.925411794168</v>
      </c>
      <c r="P228" s="33" t="str">
        <f t="shared" si="206"/>
        <v>54,631621870174</v>
      </c>
      <c r="Q228" s="4" t="str">
        <f t="shared" si="207"/>
        <v>1+35,3097254494252i</v>
      </c>
      <c r="R228" s="4">
        <f t="shared" si="219"/>
        <v>35.323883015798053</v>
      </c>
      <c r="S228" s="4">
        <f t="shared" si="220"/>
        <v>1.5424830856188463</v>
      </c>
      <c r="T228" s="4" t="str">
        <f t="shared" si="208"/>
        <v>1+0,119600132151328i</v>
      </c>
      <c r="U228" s="4">
        <f t="shared" si="221"/>
        <v>1.0071267008726434</v>
      </c>
      <c r="V228" s="4">
        <f t="shared" si="222"/>
        <v>0.11903471590024613</v>
      </c>
      <c r="W228" t="str">
        <f t="shared" si="209"/>
        <v>1-0,0314768155750495i</v>
      </c>
      <c r="X228" s="4">
        <f t="shared" si="223"/>
        <v>1.0004952723120413</v>
      </c>
      <c r="Y228" s="4">
        <f t="shared" si="224"/>
        <v>-3.1466426113432804E-2</v>
      </c>
      <c r="Z228" t="str">
        <f t="shared" si="210"/>
        <v>0,99999366042723+0,00432465987418577i</v>
      </c>
      <c r="AA228" s="4">
        <f t="shared" si="225"/>
        <v>1.0000030117843033</v>
      </c>
      <c r="AB228" s="4">
        <f t="shared" si="226"/>
        <v>4.3246603297310629E-3</v>
      </c>
      <c r="AC228" s="47" t="str">
        <f t="shared" si="227"/>
        <v>0,173487685626226-1,54869355721686i</v>
      </c>
      <c r="AD228" s="20">
        <f t="shared" si="228"/>
        <v>3.8534699769641811</v>
      </c>
      <c r="AE228" s="43">
        <f t="shared" si="229"/>
        <v>-83.608262137034572</v>
      </c>
      <c r="AF228" t="str">
        <f t="shared" si="211"/>
        <v>171,265703090588</v>
      </c>
      <c r="AG228" t="str">
        <f t="shared" si="212"/>
        <v>1+34,9718107611989i</v>
      </c>
      <c r="AH228">
        <f t="shared" si="230"/>
        <v>34.986105069257242</v>
      </c>
      <c r="AI228">
        <f t="shared" si="231"/>
        <v>1.542209657583907</v>
      </c>
      <c r="AJ228" t="str">
        <f t="shared" si="213"/>
        <v>1+0,119600132151328i</v>
      </c>
      <c r="AK228">
        <f t="shared" si="232"/>
        <v>1.0071267008726434</v>
      </c>
      <c r="AL228">
        <f t="shared" si="233"/>
        <v>0.11903471590024613</v>
      </c>
      <c r="AM228" t="str">
        <f t="shared" si="214"/>
        <v>1-0,00994461341510891i</v>
      </c>
      <c r="AN228">
        <f t="shared" si="234"/>
        <v>1.0000494464455125</v>
      </c>
      <c r="AO228">
        <f t="shared" si="235"/>
        <v>-9.9442856092648267E-3</v>
      </c>
      <c r="AP228" s="41" t="str">
        <f t="shared" si="236"/>
        <v>0,676658002200484-4,88372608888455i</v>
      </c>
      <c r="AQ228">
        <f t="shared" si="237"/>
        <v>13.857607792259108</v>
      </c>
      <c r="AR228" s="43">
        <f t="shared" si="238"/>
        <v>-82.111683262934378</v>
      </c>
      <c r="AS228" t="str">
        <f t="shared" si="215"/>
        <v>-0,0000166666666666667</v>
      </c>
      <c r="AT228" t="str">
        <f t="shared" si="216"/>
        <v>0,0000121261245097875i</v>
      </c>
      <c r="AU228">
        <f t="shared" si="239"/>
        <v>1.2126124509787501E-5</v>
      </c>
      <c r="AV228">
        <f t="shared" si="240"/>
        <v>1.5707963267948966</v>
      </c>
      <c r="AW228" t="str">
        <f t="shared" si="217"/>
        <v>1+0,0561908489046948i</v>
      </c>
      <c r="AX228">
        <f t="shared" si="241"/>
        <v>1.0015774615578319</v>
      </c>
      <c r="AY228">
        <f t="shared" si="242"/>
        <v>5.6131821477880123E-2</v>
      </c>
      <c r="AZ228" t="str">
        <f t="shared" si="218"/>
        <v>1+2,61032034457264i</v>
      </c>
      <c r="BA228">
        <f t="shared" si="243"/>
        <v>2.7953125587829755</v>
      </c>
      <c r="BB228">
        <f t="shared" si="244"/>
        <v>1.2049478506243643</v>
      </c>
      <c r="BC228" s="41" t="str">
        <f t="shared" si="245"/>
        <v>-3,49945612380751+1,57108038696845i</v>
      </c>
      <c r="BD228">
        <f t="shared" si="246"/>
        <v>11.677451180971081</v>
      </c>
      <c r="BE228" s="43">
        <f t="shared" si="247"/>
        <v>155.82230990707171</v>
      </c>
      <c r="BF228" s="41" t="str">
        <f t="shared" si="248"/>
        <v>1,82600952929792+5,69214825297169i</v>
      </c>
      <c r="BG228" s="20">
        <f t="shared" si="249"/>
        <v>15.530921157935262</v>
      </c>
      <c r="BH228" s="43">
        <f t="shared" si="250"/>
        <v>72.214047770037197</v>
      </c>
      <c r="BI228" s="41" t="str">
        <f t="shared" si="203"/>
        <v>5,30479128404881+18,153469284688i</v>
      </c>
      <c r="BJ228" s="20">
        <f t="shared" si="251"/>
        <v>25.535058973230203</v>
      </c>
      <c r="BK228" s="43">
        <f t="shared" si="204"/>
        <v>73.710626644137406</v>
      </c>
      <c r="BL228">
        <f t="shared" si="252"/>
        <v>15.530921157935262</v>
      </c>
      <c r="BM228" s="43">
        <f t="shared" si="253"/>
        <v>72.214047770037197</v>
      </c>
    </row>
    <row r="229" spans="14:65" x14ac:dyDescent="0.25">
      <c r="N229" s="9">
        <v>11</v>
      </c>
      <c r="O229" s="34">
        <f t="shared" si="254"/>
        <v>1288.2495516931347</v>
      </c>
      <c r="P229" s="33" t="str">
        <f t="shared" si="206"/>
        <v>54,631621870174</v>
      </c>
      <c r="Q229" s="4" t="str">
        <f t="shared" si="207"/>
        <v>1+36,1321946117542i</v>
      </c>
      <c r="R229" s="4">
        <f t="shared" si="219"/>
        <v>36.146030037359282</v>
      </c>
      <c r="S229" s="4">
        <f t="shared" si="220"/>
        <v>1.5431272409575587</v>
      </c>
      <c r="T229" s="4" t="str">
        <f t="shared" si="208"/>
        <v>1+0,122385977106306i</v>
      </c>
      <c r="U229" s="4">
        <f t="shared" si="221"/>
        <v>1.007461327988457</v>
      </c>
      <c r="V229" s="4">
        <f t="shared" si="222"/>
        <v>0.12178036475183639</v>
      </c>
      <c r="W229" t="str">
        <f t="shared" si="209"/>
        <v>1-0,0322100047972618i</v>
      </c>
      <c r="X229" s="4">
        <f t="shared" si="223"/>
        <v>1.0005186077275323</v>
      </c>
      <c r="Y229" s="4">
        <f t="shared" si="224"/>
        <v>-3.2198872600198367E-2</v>
      </c>
      <c r="Z229" t="str">
        <f t="shared" si="210"/>
        <v>0,99999336165237+0,00442539414325206i</v>
      </c>
      <c r="AA229" s="4">
        <f t="shared" si="225"/>
        <v>1.0000031537260923</v>
      </c>
      <c r="AB229" s="4">
        <f t="shared" si="226"/>
        <v>4.4253946313757989E-3</v>
      </c>
      <c r="AC229" s="47" t="str">
        <f t="shared" si="227"/>
        <v>0,171522041339456-1,51378991822751i</v>
      </c>
      <c r="AD229" s="20">
        <f t="shared" si="228"/>
        <v>3.656713470880252</v>
      </c>
      <c r="AE229" s="43">
        <f t="shared" si="229"/>
        <v>-83.53559317081988</v>
      </c>
      <c r="AF229" t="str">
        <f t="shared" si="211"/>
        <v>171,265703090588</v>
      </c>
      <c r="AG229" t="str">
        <f t="shared" si="212"/>
        <v>1+35,7864088793035i</v>
      </c>
      <c r="AH229">
        <f t="shared" si="230"/>
        <v>35.800377937623686</v>
      </c>
      <c r="AI229">
        <f t="shared" si="231"/>
        <v>1.5428600271727839</v>
      </c>
      <c r="AJ229" t="str">
        <f t="shared" si="213"/>
        <v>1+0,122385977106306i</v>
      </c>
      <c r="AK229">
        <f t="shared" si="232"/>
        <v>1.007461327988457</v>
      </c>
      <c r="AL229">
        <f t="shared" si="233"/>
        <v>0.12178036475183639</v>
      </c>
      <c r="AM229" t="str">
        <f t="shared" si="214"/>
        <v>1-0,0101762532186221i</v>
      </c>
      <c r="AN229">
        <f t="shared" si="234"/>
        <v>1.0000517767243702</v>
      </c>
      <c r="AO229">
        <f t="shared" si="235"/>
        <v>-1.0175901969313972E-2</v>
      </c>
      <c r="AP229" s="41" t="str">
        <f t="shared" si="236"/>
        <v>0,670385223367099-4,7730024548333i</v>
      </c>
      <c r="AQ229">
        <f t="shared" si="237"/>
        <v>13.660673211954141</v>
      </c>
      <c r="AR229" s="43">
        <f t="shared" si="238"/>
        <v>-82.004903244176631</v>
      </c>
      <c r="AS229" t="str">
        <f t="shared" si="215"/>
        <v>-0,0000166666666666667</v>
      </c>
      <c r="AT229" t="str">
        <f t="shared" si="216"/>
        <v>0,0000124085782343894i</v>
      </c>
      <c r="AU229">
        <f t="shared" si="239"/>
        <v>1.24085782343894E-5</v>
      </c>
      <c r="AV229">
        <f t="shared" si="240"/>
        <v>1.5707963267948966</v>
      </c>
      <c r="AW229" t="str">
        <f t="shared" si="217"/>
        <v>1+0,0574997019144809i</v>
      </c>
      <c r="AX229">
        <f t="shared" si="241"/>
        <v>1.0016517437314498</v>
      </c>
      <c r="AY229">
        <f t="shared" si="242"/>
        <v>5.7436458518815056E-2</v>
      </c>
      <c r="AZ229" t="str">
        <f t="shared" si="218"/>
        <v>1+2,67112251620907i</v>
      </c>
      <c r="BA229">
        <f t="shared" si="243"/>
        <v>2.8521738194926121</v>
      </c>
      <c r="BB229">
        <f t="shared" si="244"/>
        <v>1.2125742041949816</v>
      </c>
      <c r="BC229" s="41" t="str">
        <f t="shared" si="245"/>
        <v>-3,49893710595491+1,5443446754902i</v>
      </c>
      <c r="BD229">
        <f t="shared" si="246"/>
        <v>11.651719282221087</v>
      </c>
      <c r="BE229" s="43">
        <f t="shared" si="247"/>
        <v>156.18451758350059</v>
      </c>
      <c r="BF229" s="41" t="str">
        <f t="shared" si="248"/>
        <v>1,73766856509365+5,56154486677848i</v>
      </c>
      <c r="BG229" s="20">
        <f t="shared" si="249"/>
        <v>15.308432753101336</v>
      </c>
      <c r="BH229" s="43">
        <f t="shared" si="250"/>
        <v>72.648924412680671</v>
      </c>
      <c r="BI229" s="41" t="str">
        <f t="shared" si="203"/>
        <v>5,02552519390045+17,7357412462644i</v>
      </c>
      <c r="BJ229" s="20">
        <f t="shared" si="251"/>
        <v>25.312392494175228</v>
      </c>
      <c r="BK229" s="43">
        <f t="shared" si="204"/>
        <v>74.179614339323976</v>
      </c>
      <c r="BL229">
        <f t="shared" si="252"/>
        <v>15.308432753101336</v>
      </c>
      <c r="BM229" s="43">
        <f t="shared" si="253"/>
        <v>72.648924412680671</v>
      </c>
    </row>
    <row r="230" spans="14:65" x14ac:dyDescent="0.25">
      <c r="N230" s="9">
        <v>12</v>
      </c>
      <c r="O230" s="34">
        <f t="shared" si="254"/>
        <v>1318.2567385564089</v>
      </c>
      <c r="P230" s="33" t="str">
        <f t="shared" si="206"/>
        <v>54,631621870174</v>
      </c>
      <c r="Q230" s="4" t="str">
        <f t="shared" si="207"/>
        <v>1+36,9738215419325i</v>
      </c>
      <c r="R230" s="4">
        <f t="shared" si="219"/>
        <v>36.987342151264016</v>
      </c>
      <c r="S230" s="4">
        <f t="shared" si="220"/>
        <v>1.5437567557247294</v>
      </c>
      <c r="T230" s="4" t="str">
        <f t="shared" si="208"/>
        <v>1+0,125236712726316i</v>
      </c>
      <c r="U230" s="4">
        <f t="shared" si="221"/>
        <v>1.0078116065091203</v>
      </c>
      <c r="V230" s="4">
        <f t="shared" si="222"/>
        <v>0.1245880587445434</v>
      </c>
      <c r="W230" t="str">
        <f t="shared" si="209"/>
        <v>1-0,0329602721903675i</v>
      </c>
      <c r="X230" s="4">
        <f t="shared" si="223"/>
        <v>1.0005430423239488</v>
      </c>
      <c r="Y230" s="4">
        <f t="shared" si="224"/>
        <v>-3.2948344175934952E-2</v>
      </c>
      <c r="Z230" t="str">
        <f t="shared" si="210"/>
        <v>0,999993048796685+0,00452847481487013i</v>
      </c>
      <c r="AA230" s="4">
        <f t="shared" si="225"/>
        <v>1.0000033023574664</v>
      </c>
      <c r="AB230" s="4">
        <f t="shared" si="226"/>
        <v>4.5284753379020749E-3</v>
      </c>
      <c r="AC230" s="47" t="str">
        <f t="shared" si="227"/>
        <v>0,169644616790838-1,47968401884005i</v>
      </c>
      <c r="AD230" s="20">
        <f t="shared" si="228"/>
        <v>3.4600933343152467</v>
      </c>
      <c r="AE230" s="43">
        <f t="shared" si="229"/>
        <v>-83.459640341761457</v>
      </c>
      <c r="AF230" t="str">
        <f t="shared" si="211"/>
        <v>171,265703090588</v>
      </c>
      <c r="AG230" t="str">
        <f t="shared" si="212"/>
        <v>1+36,6199814250851i</v>
      </c>
      <c r="AH230">
        <f t="shared" si="230"/>
        <v>36.633632628686691</v>
      </c>
      <c r="AI230">
        <f t="shared" si="231"/>
        <v>1.5434956153854233</v>
      </c>
      <c r="AJ230" t="str">
        <f t="shared" si="213"/>
        <v>1+0,125236712726316i</v>
      </c>
      <c r="AK230">
        <f t="shared" si="232"/>
        <v>1.0078116065091203</v>
      </c>
      <c r="AL230">
        <f t="shared" si="233"/>
        <v>0.1245880587445434</v>
      </c>
      <c r="AM230" t="str">
        <f t="shared" si="214"/>
        <v>1-0,0104132886062905i</v>
      </c>
      <c r="AN230">
        <f t="shared" si="234"/>
        <v>1.000054216820067</v>
      </c>
      <c r="AO230">
        <f t="shared" si="235"/>
        <v>-1.0412912236977906E-2</v>
      </c>
      <c r="AP230" s="41" t="str">
        <f t="shared" si="236"/>
        <v>0,664394335432775-4,66479375929509i</v>
      </c>
      <c r="AQ230">
        <f t="shared" si="237"/>
        <v>13.463866338974048</v>
      </c>
      <c r="AR230" s="43">
        <f t="shared" si="238"/>
        <v>-81.894030438361199</v>
      </c>
      <c r="AS230" t="str">
        <f t="shared" si="215"/>
        <v>-0,0000166666666666667</v>
      </c>
      <c r="AT230" t="str">
        <f t="shared" si="216"/>
        <v>0,0000126976111514182i</v>
      </c>
      <c r="AU230">
        <f t="shared" si="239"/>
        <v>1.26976111514182E-5</v>
      </c>
      <c r="AV230">
        <f t="shared" si="240"/>
        <v>1.5707963267948966</v>
      </c>
      <c r="AW230" t="str">
        <f t="shared" si="217"/>
        <v>1+0,0588390420273206i</v>
      </c>
      <c r="AX230">
        <f t="shared" si="241"/>
        <v>1.0017295208122263</v>
      </c>
      <c r="AY230">
        <f t="shared" si="242"/>
        <v>5.8771281825441675E-2</v>
      </c>
      <c r="AZ230" t="str">
        <f t="shared" si="218"/>
        <v>1+2,73334095236008i</v>
      </c>
      <c r="BA230">
        <f t="shared" si="243"/>
        <v>2.9105244822623821</v>
      </c>
      <c r="BB230">
        <f t="shared" si="244"/>
        <v>1.2200692779573981</v>
      </c>
      <c r="BC230" s="41" t="str">
        <f t="shared" si="245"/>
        <v>-3,49839379252842+1,51842499201289i</v>
      </c>
      <c r="BD230">
        <f t="shared" si="246"/>
        <v>11.626950212253409</v>
      </c>
      <c r="BE230" s="43">
        <f t="shared" si="247"/>
        <v>156.53747393536094</v>
      </c>
      <c r="BF230" s="41" t="str">
        <f t="shared" si="248"/>
        <v>1,65330552017187+5,43411001230919i</v>
      </c>
      <c r="BG230" s="20">
        <f t="shared" si="249"/>
        <v>15.087043546568646</v>
      </c>
      <c r="BH230" s="43">
        <f t="shared" si="250"/>
        <v>73.077833593599536</v>
      </c>
      <c r="BI230" s="41" t="str">
        <f t="shared" si="203"/>
        <v>4,75882640783036+17,3281184944162i</v>
      </c>
      <c r="BJ230" s="20">
        <f t="shared" si="251"/>
        <v>25.090816551227469</v>
      </c>
      <c r="BK230" s="43">
        <f t="shared" si="204"/>
        <v>74.643443496999794</v>
      </c>
      <c r="BL230">
        <f t="shared" si="252"/>
        <v>15.087043546568646</v>
      </c>
      <c r="BM230" s="43">
        <f t="shared" si="253"/>
        <v>73.077833593599536</v>
      </c>
    </row>
    <row r="231" spans="14:65" x14ac:dyDescent="0.25">
      <c r="N231" s="9">
        <v>13</v>
      </c>
      <c r="O231" s="34">
        <f t="shared" si="254"/>
        <v>1348.9628825916541</v>
      </c>
      <c r="P231" s="33" t="str">
        <f t="shared" si="206"/>
        <v>54,631621870174</v>
      </c>
      <c r="Q231" s="4" t="str">
        <f t="shared" si="207"/>
        <v>1+37,8350524816987i</v>
      </c>
      <c r="R231" s="4">
        <f t="shared" si="219"/>
        <v>37.848265433080215</v>
      </c>
      <c r="S231" s="4">
        <f t="shared" si="220"/>
        <v>1.5443719617005198</v>
      </c>
      <c r="T231" s="4" t="str">
        <f t="shared" si="208"/>
        <v>1+0,128153850509117i</v>
      </c>
      <c r="U231" s="4">
        <f t="shared" si="221"/>
        <v>1.0081782627096822</v>
      </c>
      <c r="V231" s="4">
        <f t="shared" si="222"/>
        <v>0.12745910939246191</v>
      </c>
      <c r="W231" t="str">
        <f t="shared" si="209"/>
        <v>1-0,0337280155560692i</v>
      </c>
      <c r="X231" s="4">
        <f t="shared" si="223"/>
        <v>1.0005686278478605</v>
      </c>
      <c r="Y231" s="4">
        <f t="shared" si="224"/>
        <v>-3.3715234850595577E-2</v>
      </c>
      <c r="Z231" t="str">
        <f t="shared" si="210"/>
        <v>0,999992721196566+0,00463395654377649i</v>
      </c>
      <c r="AA231" s="4">
        <f t="shared" si="225"/>
        <v>1.0000034579937023</v>
      </c>
      <c r="AB231" s="4">
        <f t="shared" si="226"/>
        <v>4.6339571042129995E-3</v>
      </c>
      <c r="AC231" s="47" t="str">
        <f t="shared" si="227"/>
        <v>0,167851447574416-1,44635810164554i</v>
      </c>
      <c r="AD231" s="20">
        <f t="shared" si="228"/>
        <v>3.2636164468736699</v>
      </c>
      <c r="AE231" s="43">
        <f t="shared" si="229"/>
        <v>-83.38037322184266</v>
      </c>
      <c r="AF231" t="str">
        <f t="shared" si="211"/>
        <v>171,265703090588</v>
      </c>
      <c r="AG231" t="str">
        <f t="shared" si="212"/>
        <v>1+37,4729703697409i</v>
      </c>
      <c r="AH231">
        <f t="shared" si="230"/>
        <v>37.486310945883695</v>
      </c>
      <c r="AI231">
        <f t="shared" si="231"/>
        <v>1.5441167571638514</v>
      </c>
      <c r="AJ231" t="str">
        <f t="shared" si="213"/>
        <v>1+0,128153850509117i</v>
      </c>
      <c r="AK231">
        <f t="shared" si="232"/>
        <v>1.0081782627096822</v>
      </c>
      <c r="AL231">
        <f t="shared" si="233"/>
        <v>0.12745910939246191</v>
      </c>
      <c r="AM231" t="str">
        <f t="shared" si="214"/>
        <v>1-0,0106558452574141i</v>
      </c>
      <c r="AN231">
        <f t="shared" si="234"/>
        <v>1.0000567719075502</v>
      </c>
      <c r="AO231">
        <f t="shared" si="235"/>
        <v>-1.065544197166623E-2</v>
      </c>
      <c r="AP231" s="41" t="str">
        <f t="shared" si="236"/>
        <v>0,658672689068662-4,55904367965305i</v>
      </c>
      <c r="AQ231">
        <f t="shared" si="237"/>
        <v>13.267193658220158</v>
      </c>
      <c r="AR231" s="43">
        <f t="shared" si="238"/>
        <v>-81.779016086054384</v>
      </c>
      <c r="AS231" t="str">
        <f t="shared" si="215"/>
        <v>-0,0000166666666666667</v>
      </c>
      <c r="AT231" t="str">
        <f t="shared" si="216"/>
        <v>0,0000129933765099522i</v>
      </c>
      <c r="AU231">
        <f t="shared" si="239"/>
        <v>1.2993376509952201E-5</v>
      </c>
      <c r="AV231">
        <f t="shared" si="240"/>
        <v>1.5707963267948966</v>
      </c>
      <c r="AW231" t="str">
        <f t="shared" si="217"/>
        <v>1+0,0602095793790699i</v>
      </c>
      <c r="AX231">
        <f t="shared" si="241"/>
        <v>1.0018109569419795</v>
      </c>
      <c r="AY231">
        <f t="shared" si="242"/>
        <v>6.0136980101378155E-2</v>
      </c>
      <c r="AZ231" t="str">
        <f t="shared" si="218"/>
        <v>1+2,79700864206407i</v>
      </c>
      <c r="BA231">
        <f t="shared" si="243"/>
        <v>2.9703968327112609</v>
      </c>
      <c r="BB231">
        <f t="shared" si="244"/>
        <v>1.2274336765565486</v>
      </c>
      <c r="BC231" s="41" t="str">
        <f t="shared" si="245"/>
        <v>-3,49782505434601+1,49330739443842i</v>
      </c>
      <c r="BD231">
        <f t="shared" si="246"/>
        <v>11.603108444473381</v>
      </c>
      <c r="BE231" s="43">
        <f t="shared" si="247"/>
        <v>156.88117414644486</v>
      </c>
      <c r="BF231" s="41" t="str">
        <f t="shared" si="248"/>
        <v>1,57274224945916+5,30976141332217i</v>
      </c>
      <c r="BG231" s="20">
        <f t="shared" si="249"/>
        <v>14.866724891347049</v>
      </c>
      <c r="BH231" s="43">
        <f t="shared" si="250"/>
        <v>73.500800924602217</v>
      </c>
      <c r="BI231" s="41" t="str">
        <f t="shared" si="203"/>
        <v>4,50413180395582+16,9303380036491i</v>
      </c>
      <c r="BJ231" s="20">
        <f t="shared" si="251"/>
        <v>24.870302102693525</v>
      </c>
      <c r="BK231" s="43">
        <f t="shared" si="204"/>
        <v>75.102158060390437</v>
      </c>
      <c r="BL231">
        <f t="shared" si="252"/>
        <v>14.866724891347049</v>
      </c>
      <c r="BM231" s="43">
        <f t="shared" si="253"/>
        <v>73.500800924602217</v>
      </c>
    </row>
    <row r="232" spans="14:65" x14ac:dyDescent="0.25">
      <c r="N232" s="9">
        <v>14</v>
      </c>
      <c r="O232" s="34">
        <f t="shared" si="254"/>
        <v>1380.3842646028863</v>
      </c>
      <c r="P232" s="33" t="str">
        <f t="shared" si="206"/>
        <v>54,631621870174</v>
      </c>
      <c r="Q232" s="4" t="str">
        <f t="shared" si="207"/>
        <v>1+38,7163440670969i</v>
      </c>
      <c r="R232" s="4">
        <f t="shared" si="219"/>
        <v>38.729256356426845</v>
      </c>
      <c r="S232" s="4">
        <f t="shared" si="220"/>
        <v>1.5449731832114781</v>
      </c>
      <c r="T232" s="4" t="str">
        <f t="shared" si="208"/>
        <v>1+0,131138937159775i</v>
      </c>
      <c r="U232" s="4">
        <f t="shared" si="221"/>
        <v>1.0085620560180695</v>
      </c>
      <c r="V232" s="4">
        <f t="shared" si="222"/>
        <v>0.13039484953669211</v>
      </c>
      <c r="W232" t="str">
        <f t="shared" si="209"/>
        <v>1-0,0345136419620619i</v>
      </c>
      <c r="X232" s="4">
        <f t="shared" si="223"/>
        <v>1.0005954184791601</v>
      </c>
      <c r="Y232" s="4">
        <f t="shared" si="224"/>
        <v>-3.4499947629506894E-2</v>
      </c>
      <c r="Z232" t="str">
        <f t="shared" si="210"/>
        <v>0,999992378157128+0,00474189525778003i</v>
      </c>
      <c r="AA232" s="4">
        <f t="shared" si="225"/>
        <v>1.0000036209649363</v>
      </c>
      <c r="AB232" s="4">
        <f t="shared" si="226"/>
        <v>4.7418958582959754E-3</v>
      </c>
      <c r="AC232" s="47" t="str">
        <f t="shared" si="227"/>
        <v>0,166138746431541-1,41379480108135i</v>
      </c>
      <c r="AD232" s="20">
        <f t="shared" si="228"/>
        <v>3.067289964804977</v>
      </c>
      <c r="AE232" s="43">
        <f t="shared" si="229"/>
        <v>-83.297760322377982</v>
      </c>
      <c r="AF232" t="str">
        <f t="shared" si="211"/>
        <v>171,265703090588</v>
      </c>
      <c r="AG232" t="str">
        <f t="shared" si="212"/>
        <v>1+38,3458279793002i</v>
      </c>
      <c r="AH232">
        <f t="shared" si="230"/>
        <v>38.358864991264824</v>
      </c>
      <c r="AI232">
        <f t="shared" si="231"/>
        <v>1.5447237799273867</v>
      </c>
      <c r="AJ232" t="str">
        <f t="shared" si="213"/>
        <v>1+0,131138937159775i</v>
      </c>
      <c r="AK232">
        <f t="shared" si="232"/>
        <v>1.0085620560180695</v>
      </c>
      <c r="AL232">
        <f t="shared" si="233"/>
        <v>0.13039484953669211</v>
      </c>
      <c r="AM232" t="str">
        <f t="shared" si="214"/>
        <v>1-0,0109040517787399i</v>
      </c>
      <c r="AN232">
        <f t="shared" si="234"/>
        <v>1.0000594474055997</v>
      </c>
      <c r="AO232">
        <f t="shared" si="235"/>
        <v>-1.0903619651662866E-2</v>
      </c>
      <c r="AP232" s="41" t="str">
        <f t="shared" si="236"/>
        <v>0,653208200934294-4,45569712689539i</v>
      </c>
      <c r="AQ232">
        <f t="shared" si="237"/>
        <v>13.070661912166821</v>
      </c>
      <c r="AR232" s="43">
        <f t="shared" si="238"/>
        <v>-81.659809942094995</v>
      </c>
      <c r="AS232" t="str">
        <f t="shared" si="215"/>
        <v>-0,0000166666666666667</v>
      </c>
      <c r="AT232" t="str">
        <f t="shared" si="216"/>
        <v>0,0000132960311286994i</v>
      </c>
      <c r="AU232">
        <f t="shared" si="239"/>
        <v>1.32960311286994E-5</v>
      </c>
      <c r="AV232">
        <f t="shared" si="240"/>
        <v>1.5707963267948966</v>
      </c>
      <c r="AW232" t="str">
        <f t="shared" si="217"/>
        <v>1+0,061612040646774i</v>
      </c>
      <c r="AX232">
        <f t="shared" si="241"/>
        <v>1.0018962239437075</v>
      </c>
      <c r="AY232">
        <f t="shared" si="242"/>
        <v>6.1534257068752762E-2</v>
      </c>
      <c r="AZ232" t="str">
        <f t="shared" si="218"/>
        <v>1+2,86215934277287i</v>
      </c>
      <c r="BA232">
        <f t="shared" si="243"/>
        <v>3.0318238905685182</v>
      </c>
      <c r="BB232">
        <f t="shared" si="244"/>
        <v>1.2346681084974325</v>
      </c>
      <c r="BC232" s="41" t="str">
        <f t="shared" si="245"/>
        <v>-3,49722971052399+1,4689783518728i</v>
      </c>
      <c r="BD232">
        <f t="shared" si="246"/>
        <v>11.580159149170157</v>
      </c>
      <c r="BE232" s="43">
        <f t="shared" si="247"/>
        <v>157.21561849079069</v>
      </c>
      <c r="BF232" s="41" t="str">
        <f t="shared" si="248"/>
        <v>1,49580859668922+5,18841940484127i</v>
      </c>
      <c r="BG232" s="20">
        <f t="shared" si="249"/>
        <v>14.647449113975137</v>
      </c>
      <c r="BH232" s="43">
        <f t="shared" si="250"/>
        <v>73.917858168412678</v>
      </c>
      <c r="BI232" s="41" t="str">
        <f t="shared" si="203"/>
        <v>4,26090349444582+16,5421450797132i</v>
      </c>
      <c r="BJ232" s="20">
        <f t="shared" si="251"/>
        <v>24.65082106133698</v>
      </c>
      <c r="BK232" s="43">
        <f t="shared" si="204"/>
        <v>75.555808548695722</v>
      </c>
      <c r="BL232">
        <f t="shared" si="252"/>
        <v>14.647449113975137</v>
      </c>
      <c r="BM232" s="43">
        <f t="shared" si="253"/>
        <v>73.917858168412678</v>
      </c>
    </row>
    <row r="233" spans="14:65" x14ac:dyDescent="0.25">
      <c r="N233" s="9">
        <v>15</v>
      </c>
      <c r="O233" s="34">
        <f t="shared" si="254"/>
        <v>1412.5375446227545</v>
      </c>
      <c r="P233" s="33" t="str">
        <f t="shared" si="206"/>
        <v>54,631621870174</v>
      </c>
      <c r="Q233" s="4" t="str">
        <f t="shared" si="207"/>
        <v>1+39,6181635705908i</v>
      </c>
      <c r="R233" s="4">
        <f t="shared" si="219"/>
        <v>39.630782035005168</v>
      </c>
      <c r="S233" s="4">
        <f t="shared" si="220"/>
        <v>1.5455607372936364</v>
      </c>
      <c r="T233" s="4" t="str">
        <f t="shared" si="208"/>
        <v>1+0,134193555410744i</v>
      </c>
      <c r="U233" s="4">
        <f t="shared" si="221"/>
        <v>1.0089637804766713</v>
      </c>
      <c r="V233" s="4">
        <f t="shared" si="222"/>
        <v>0.13339663322289957</v>
      </c>
      <c r="W233" t="str">
        <f t="shared" si="209"/>
        <v>1-0,0353175679578649i</v>
      </c>
      <c r="X233" s="4">
        <f t="shared" si="223"/>
        <v>1.0006234709452195</v>
      </c>
      <c r="Y233" s="4">
        <f t="shared" si="224"/>
        <v>-3.5302894709915392E-2</v>
      </c>
      <c r="Z233" t="str">
        <f t="shared" si="210"/>
        <v>0,99999201895074+0,00485234818741564i</v>
      </c>
      <c r="AA233" s="4">
        <f t="shared" si="225"/>
        <v>1.0000037916168663</v>
      </c>
      <c r="AB233" s="4">
        <f t="shared" si="226"/>
        <v>4.8523488308771547E-3</v>
      </c>
      <c r="AC233" s="47" t="str">
        <f t="shared" si="227"/>
        <v>0,164502895355402-1,38197713566699i</v>
      </c>
      <c r="AD233" s="20">
        <f t="shared" si="228"/>
        <v>2.8711213336332921</v>
      </c>
      <c r="AE233" s="43">
        <f t="shared" si="229"/>
        <v>-83.211769123333724</v>
      </c>
      <c r="AF233" t="str">
        <f t="shared" si="211"/>
        <v>171,265703090588</v>
      </c>
      <c r="AG233" t="str">
        <f t="shared" si="212"/>
        <v>1+39,2390170544211i</v>
      </c>
      <c r="AH233">
        <f t="shared" si="230"/>
        <v>39.251757405206071</v>
      </c>
      <c r="AI233">
        <f t="shared" si="231"/>
        <v>1.5453170037371187</v>
      </c>
      <c r="AJ233" t="str">
        <f t="shared" si="213"/>
        <v>1+0,134193555410744i</v>
      </c>
      <c r="AK233">
        <f t="shared" si="232"/>
        <v>1.0089637804766713</v>
      </c>
      <c r="AL233">
        <f t="shared" si="233"/>
        <v>0.13339663322289957</v>
      </c>
      <c r="AM233" t="str">
        <f t="shared" si="214"/>
        <v>1-0,0111580397726511i</v>
      </c>
      <c r="AN233">
        <f t="shared" si="234"/>
        <v>1.0000622489883157</v>
      </c>
      <c r="AO233">
        <f t="shared" si="235"/>
        <v>-1.1157576741702344E-2</v>
      </c>
      <c r="AP233" s="41" t="str">
        <f t="shared" si="236"/>
        <v>0,647989328495822-4,35470022105945i</v>
      </c>
      <c r="AQ233">
        <f t="shared" si="237"/>
        <v>12.874278112626463</v>
      </c>
      <c r="AR233" s="43">
        <f t="shared" si="238"/>
        <v>-81.536360295905084</v>
      </c>
      <c r="AS233" t="str">
        <f t="shared" si="215"/>
        <v>-0,0000166666666666667</v>
      </c>
      <c r="AT233" t="str">
        <f t="shared" si="216"/>
        <v>0,0000136057354791449i</v>
      </c>
      <c r="AU233">
        <f t="shared" si="239"/>
        <v>1.36057354791449E-5</v>
      </c>
      <c r="AV233">
        <f t="shared" si="240"/>
        <v>1.5707963267948966</v>
      </c>
      <c r="AW233" t="str">
        <f t="shared" si="217"/>
        <v>1+0,0630471694339608i</v>
      </c>
      <c r="AX233">
        <f t="shared" si="241"/>
        <v>1.0019855016783599</v>
      </c>
      <c r="AY233">
        <f t="shared" si="242"/>
        <v>6.2963831745826412E-2</v>
      </c>
      <c r="AZ233" t="str">
        <f t="shared" si="218"/>
        <v>1+2,92882759825036i</v>
      </c>
      <c r="BA233">
        <f t="shared" si="243"/>
        <v>3.0948394304507905</v>
      </c>
      <c r="BB233">
        <f t="shared" si="244"/>
        <v>1.2417733795965646</v>
      </c>
      <c r="BC233" s="41" t="str">
        <f t="shared" si="245"/>
        <v>-3,49660652618477+1,44542473646605i</v>
      </c>
      <c r="BD233">
        <f t="shared" si="246"/>
        <v>11.55806820663951</v>
      </c>
      <c r="BE233" s="43">
        <f t="shared" si="247"/>
        <v>157.54081194157206</v>
      </c>
      <c r="BF233" s="41" t="str">
        <f t="shared" si="248"/>
        <v>1,42234203964758+5,07000682577832i</v>
      </c>
      <c r="BG233" s="20">
        <f t="shared" si="249"/>
        <v>14.429189540272809</v>
      </c>
      <c r="BH233" s="43">
        <f t="shared" si="250"/>
        <v>74.329042818238321</v>
      </c>
      <c r="BI233" s="41" t="str">
        <f t="shared" si="203"/>
        <v>4,02862770449693+16,1632930169086i</v>
      </c>
      <c r="BJ233" s="20">
        <f t="shared" si="251"/>
        <v>24.43234631926596</v>
      </c>
      <c r="BK233" s="43">
        <f t="shared" si="204"/>
        <v>76.004451645666975</v>
      </c>
      <c r="BL233">
        <f t="shared" si="252"/>
        <v>14.429189540272809</v>
      </c>
      <c r="BM233" s="43">
        <f t="shared" si="253"/>
        <v>74.329042818238321</v>
      </c>
    </row>
    <row r="234" spans="14:65" x14ac:dyDescent="0.25">
      <c r="N234" s="9">
        <v>16</v>
      </c>
      <c r="O234" s="34">
        <f t="shared" si="254"/>
        <v>1445.4397707459289</v>
      </c>
      <c r="P234" s="33" t="str">
        <f t="shared" si="206"/>
        <v>54,631621870174</v>
      </c>
      <c r="Q234" s="4" t="str">
        <f t="shared" si="207"/>
        <v>1+40,5409891488182i</v>
      </c>
      <c r="R234" s="4">
        <f t="shared" si="219"/>
        <v>40.553320470272162</v>
      </c>
      <c r="S234" s="4">
        <f t="shared" si="220"/>
        <v>1.5461349338523342</v>
      </c>
      <c r="T234" s="4" t="str">
        <f t="shared" si="208"/>
        <v>1+0,137319324861053i</v>
      </c>
      <c r="U234" s="4">
        <f t="shared" si="221"/>
        <v>1.0093842662634955</v>
      </c>
      <c r="V234" s="4">
        <f t="shared" si="222"/>
        <v>0.13646583553646599</v>
      </c>
      <c r="W234" t="str">
        <f t="shared" si="209"/>
        <v>1-0,0361402197956825i</v>
      </c>
      <c r="X234" s="4">
        <f t="shared" si="223"/>
        <v>1.000652844640378</v>
      </c>
      <c r="Y234" s="4">
        <f t="shared" si="224"/>
        <v>-3.6124497681191442E-2</v>
      </c>
      <c r="Z234" t="str">
        <f t="shared" si="210"/>
        <v>0,999991642815477+0,00496537389628864i</v>
      </c>
      <c r="AA234" s="4">
        <f t="shared" si="225"/>
        <v>1.0000039703114818</v>
      </c>
      <c r="AB234" s="4">
        <f t="shared" si="226"/>
        <v>4.9653745857668021E-3</v>
      </c>
      <c r="AC234" s="47" t="str">
        <f t="shared" si="227"/>
        <v>0,162940438042484-1,35088850034786i</v>
      </c>
      <c r="AD234" s="20">
        <f t="shared" si="228"/>
        <v>2.675118301168343</v>
      </c>
      <c r="AE234" s="43">
        <f t="shared" si="229"/>
        <v>-83.122366105139889</v>
      </c>
      <c r="AF234" t="str">
        <f t="shared" si="211"/>
        <v>171,265703090588</v>
      </c>
      <c r="AG234" t="str">
        <f t="shared" si="212"/>
        <v>1+40,1530111757742i</v>
      </c>
      <c r="AH234">
        <f t="shared" si="230"/>
        <v>40.16546161171123</v>
      </c>
      <c r="AI234">
        <f t="shared" si="231"/>
        <v>1.5458967414570948</v>
      </c>
      <c r="AJ234" t="str">
        <f t="shared" si="213"/>
        <v>1+0,137319324861053i</v>
      </c>
      <c r="AK234">
        <f t="shared" si="232"/>
        <v>1.0093842662634955</v>
      </c>
      <c r="AL234">
        <f t="shared" si="233"/>
        <v>0.13646583553646599</v>
      </c>
      <c r="AM234" t="str">
        <f t="shared" si="214"/>
        <v>1-0,0114179439069438i</v>
      </c>
      <c r="AN234">
        <f t="shared" si="234"/>
        <v>1.0000651825971456</v>
      </c>
      <c r="AO234">
        <f t="shared" si="235"/>
        <v>-1.141744776208981E-2</v>
      </c>
      <c r="AP234" s="41" t="str">
        <f t="shared" si="236"/>
        <v>0,643005045951996-4,25600026700819i</v>
      </c>
      <c r="AQ234">
        <f t="shared" si="237"/>
        <v>12.678049552854581</v>
      </c>
      <c r="AR234" s="43">
        <f t="shared" si="238"/>
        <v>-81.408613994131031</v>
      </c>
      <c r="AS234" t="str">
        <f t="shared" si="215"/>
        <v>-0,0000166666666666667</v>
      </c>
      <c r="AT234" t="str">
        <f t="shared" si="216"/>
        <v>0,0000139226537706346i</v>
      </c>
      <c r="AU234">
        <f t="shared" si="239"/>
        <v>1.39226537706346E-5</v>
      </c>
      <c r="AV234">
        <f t="shared" si="240"/>
        <v>1.5707963267948966</v>
      </c>
      <c r="AW234" t="str">
        <f t="shared" si="217"/>
        <v>1+0,0645157266649095i</v>
      </c>
      <c r="AX234">
        <f t="shared" si="241"/>
        <v>1.0020789784179196</v>
      </c>
      <c r="AY234">
        <f t="shared" si="242"/>
        <v>6.4426438726038551E-2</v>
      </c>
      <c r="AZ234" t="str">
        <f t="shared" si="218"/>
        <v>1+2,99704875688807i</v>
      </c>
      <c r="BA234">
        <f t="shared" si="243"/>
        <v>3.1594780029562357</v>
      </c>
      <c r="BB234">
        <f t="shared" si="244"/>
        <v>1.2487503865690268</v>
      </c>
      <c r="BC234" s="41" t="str">
        <f t="shared" si="245"/>
        <v>-3,49595421007034+1,42263381539773i</v>
      </c>
      <c r="BD234">
        <f t="shared" si="246"/>
        <v>11.536802216831525</v>
      </c>
      <c r="BE234" s="43">
        <f t="shared" si="247"/>
        <v>157.85676378767508</v>
      </c>
      <c r="BF234" s="41" t="str">
        <f t="shared" si="248"/>
        <v>1,35218735106147+4,95444891718167i</v>
      </c>
      <c r="BG234" s="20">
        <f t="shared" si="249"/>
        <v>14.211920517999877</v>
      </c>
      <c r="BH234" s="43">
        <f t="shared" si="250"/>
        <v>74.73439768253516</v>
      </c>
      <c r="BI234" s="41" t="str">
        <f t="shared" si="203"/>
        <v>3,80681370069527+15,7935427733505i</v>
      </c>
      <c r="BJ234" s="20">
        <f t="shared" si="251"/>
        <v>24.214851769686131</v>
      </c>
      <c r="BK234" s="43">
        <f t="shared" si="204"/>
        <v>76.448149793544076</v>
      </c>
      <c r="BL234">
        <f t="shared" si="252"/>
        <v>14.211920517999877</v>
      </c>
      <c r="BM234" s="43">
        <f t="shared" si="253"/>
        <v>74.73439768253516</v>
      </c>
    </row>
    <row r="235" spans="14:65" x14ac:dyDescent="0.25">
      <c r="N235" s="9">
        <v>17</v>
      </c>
      <c r="O235" s="34">
        <f t="shared" si="254"/>
        <v>1479.1083881682086</v>
      </c>
      <c r="P235" s="33" t="str">
        <f t="shared" si="206"/>
        <v>54,631621870174</v>
      </c>
      <c r="Q235" s="4" t="str">
        <f t="shared" si="207"/>
        <v>1+41,4853100961158i</v>
      </c>
      <c r="R235" s="4">
        <f t="shared" si="219"/>
        <v>41.497360804885993</v>
      </c>
      <c r="S235" s="4">
        <f t="shared" si="220"/>
        <v>1.5466960758188113</v>
      </c>
      <c r="T235" s="4" t="str">
        <f t="shared" si="208"/>
        <v>1+0,14051790283504i</v>
      </c>
      <c r="U235" s="4">
        <f t="shared" si="221"/>
        <v>1.009824381274862</v>
      </c>
      <c r="V235" s="4">
        <f t="shared" si="222"/>
        <v>0.13960385239195258</v>
      </c>
      <c r="W235" t="str">
        <f t="shared" si="209"/>
        <v>1-0,0369820336564081i</v>
      </c>
      <c r="X235" s="4">
        <f t="shared" si="223"/>
        <v>1.0006836017510048</v>
      </c>
      <c r="Y235" s="4">
        <f t="shared" si="224"/>
        <v>-3.6965187728708826E-2</v>
      </c>
      <c r="Z235" t="str">
        <f t="shared" si="210"/>
        <v>0,999991248953504+0,00508103231212595i</v>
      </c>
      <c r="AA235" s="4">
        <f t="shared" si="225"/>
        <v>1.0000041574278307</v>
      </c>
      <c r="AB235" s="4">
        <f t="shared" si="226"/>
        <v>5.0810330509114465E-3</v>
      </c>
      <c r="AC235" s="47" t="str">
        <f t="shared" si="227"/>
        <v>0,161448072675987-1,32051265894909i</v>
      </c>
      <c r="AD235" s="20">
        <f t="shared" si="228"/>
        <v>2.4792889309038619</v>
      </c>
      <c r="AE235" s="43">
        <f t="shared" si="229"/>
        <v>-83.029516783185571</v>
      </c>
      <c r="AF235" t="str">
        <f t="shared" si="211"/>
        <v>171,265703090588</v>
      </c>
      <c r="AG235" t="str">
        <f t="shared" si="212"/>
        <v>1+41,0882949551405i</v>
      </c>
      <c r="AH235">
        <f t="shared" si="230"/>
        <v>41.100462069429632</v>
      </c>
      <c r="AI235">
        <f t="shared" si="231"/>
        <v>1.5464632989122553</v>
      </c>
      <c r="AJ235" t="str">
        <f t="shared" si="213"/>
        <v>1+0,14051790283504i</v>
      </c>
      <c r="AK235">
        <f t="shared" si="232"/>
        <v>1.009824381274862</v>
      </c>
      <c r="AL235">
        <f t="shared" si="233"/>
        <v>0.13960385239195258</v>
      </c>
      <c r="AM235" t="str">
        <f t="shared" si="214"/>
        <v>1-0,0116839019862303i</v>
      </c>
      <c r="AN235">
        <f t="shared" si="234"/>
        <v>1.0000682544534767</v>
      </c>
      <c r="AO235">
        <f t="shared" si="235"/>
        <v>-1.1683370359400673E-2</v>
      </c>
      <c r="AP235" s="41" t="str">
        <f t="shared" si="236"/>
        <v>0,638244821220324-4,15954573054679i</v>
      </c>
      <c r="AQ235">
        <f t="shared" si="237"/>
        <v>12.481983820000117</v>
      </c>
      <c r="AR235" s="43">
        <f t="shared" si="238"/>
        <v>-81.276516465806182</v>
      </c>
      <c r="AS235" t="str">
        <f t="shared" si="215"/>
        <v>-0,0000166666666666667</v>
      </c>
      <c r="AT235" t="str">
        <f t="shared" si="216"/>
        <v>0,0000142469540374416i</v>
      </c>
      <c r="AU235">
        <f t="shared" si="239"/>
        <v>1.4246954037441601E-5</v>
      </c>
      <c r="AV235">
        <f t="shared" si="240"/>
        <v>1.5707963267948966</v>
      </c>
      <c r="AW235" t="str">
        <f t="shared" si="217"/>
        <v>1+0,0660184909881025i</v>
      </c>
      <c r="AX235">
        <f t="shared" si="241"/>
        <v>1.0021768512355222</v>
      </c>
      <c r="AY235">
        <f t="shared" si="242"/>
        <v>6.5922828458162441E-2</v>
      </c>
      <c r="AZ235" t="str">
        <f t="shared" si="218"/>
        <v>1+3,06685899044731i</v>
      </c>
      <c r="BA235">
        <f t="shared" si="243"/>
        <v>3.2257749560822577</v>
      </c>
      <c r="BB235">
        <f t="shared" si="244"/>
        <v>1.255600110768144</v>
      </c>
      <c r="BC235" s="41" t="str">
        <f t="shared" si="245"/>
        <v>-3,49527141205786+1,40059324299928i</v>
      </c>
      <c r="BD235">
        <f t="shared" si="246"/>
        <v>11.516328505723557</v>
      </c>
      <c r="BE235" s="43">
        <f t="shared" si="247"/>
        <v>158.16348725895574</v>
      </c>
      <c r="BF235" s="41" t="str">
        <f t="shared" si="248"/>
        <v>1,28519627446289+4,84167322577051i</v>
      </c>
      <c r="BG235" s="20">
        <f t="shared" si="249"/>
        <v>13.99561743662742</v>
      </c>
      <c r="BH235" s="43">
        <f t="shared" si="250"/>
        <v>75.133970475770198</v>
      </c>
      <c r="BI235" s="41" t="str">
        <f t="shared" si="203"/>
        <v>3,59499276664496+15,432662663108i</v>
      </c>
      <c r="BJ235" s="20">
        <f t="shared" si="251"/>
        <v>23.998312325723678</v>
      </c>
      <c r="BK235" s="43">
        <f t="shared" si="204"/>
        <v>76.886970793149558</v>
      </c>
      <c r="BL235">
        <f t="shared" si="252"/>
        <v>13.99561743662742</v>
      </c>
      <c r="BM235" s="43">
        <f t="shared" si="253"/>
        <v>75.133970475770198</v>
      </c>
    </row>
    <row r="236" spans="14:65" x14ac:dyDescent="0.25">
      <c r="N236" s="9">
        <v>18</v>
      </c>
      <c r="O236" s="34">
        <f t="shared" si="254"/>
        <v>1513.5612484362093</v>
      </c>
      <c r="P236" s="33" t="str">
        <f t="shared" si="206"/>
        <v>54,631621870174</v>
      </c>
      <c r="Q236" s="4" t="str">
        <f t="shared" si="207"/>
        <v>1+42,4516271039493i</v>
      </c>
      <c r="R236" s="4">
        <f t="shared" si="219"/>
        <v>42.463403582058312</v>
      </c>
      <c r="S236" s="4">
        <f t="shared" si="220"/>
        <v>1.5472444593036154</v>
      </c>
      <c r="T236" s="4" t="str">
        <f t="shared" si="208"/>
        <v>1+0,143790985261085i</v>
      </c>
      <c r="U236" s="4">
        <f t="shared" si="221"/>
        <v>1.0102850327716202</v>
      </c>
      <c r="V236" s="4">
        <f t="shared" si="222"/>
        <v>0.14281210027341923</v>
      </c>
      <c r="W236" t="str">
        <f t="shared" si="209"/>
        <v>1-0,0378434558808934i</v>
      </c>
      <c r="X236" s="4">
        <f t="shared" si="223"/>
        <v>1.0007158073863973</v>
      </c>
      <c r="Y236" s="4">
        <f t="shared" si="224"/>
        <v>-3.7825405841417456E-2</v>
      </c>
      <c r="Z236" t="str">
        <f t="shared" si="210"/>
        <v>0,999990836529389+0,00519938475855056i</v>
      </c>
      <c r="AA236" s="4">
        <f t="shared" si="225"/>
        <v>1.0000043533628313</v>
      </c>
      <c r="AB236" s="4">
        <f t="shared" si="226"/>
        <v>5.199385550169364E-3</v>
      </c>
      <c r="AC236" s="47" t="str">
        <f t="shared" si="227"/>
        <v>0,160022645026867-1,29083373674155i</v>
      </c>
      <c r="AD236" s="20">
        <f t="shared" si="228"/>
        <v>2.2836416158104509</v>
      </c>
      <c r="AE236" s="43">
        <f t="shared" si="229"/>
        <v>-82.933185745200902</v>
      </c>
      <c r="AF236" t="str">
        <f t="shared" si="211"/>
        <v>171,265703090588</v>
      </c>
      <c r="AG236" t="str">
        <f t="shared" si="212"/>
        <v>1+42,0453642923599i</v>
      </c>
      <c r="AH236">
        <f t="shared" si="230"/>
        <v>42.057254528526379</v>
      </c>
      <c r="AI236">
        <f t="shared" si="231"/>
        <v>1.5470169750431666</v>
      </c>
      <c r="AJ236" t="str">
        <f t="shared" si="213"/>
        <v>1+0,143790985261085i</v>
      </c>
      <c r="AK236">
        <f t="shared" si="232"/>
        <v>1.0102850327716202</v>
      </c>
      <c r="AL236">
        <f t="shared" si="233"/>
        <v>0.14281210027341923</v>
      </c>
      <c r="AM236" t="str">
        <f t="shared" si="214"/>
        <v>1-0,0119560550250047i</v>
      </c>
      <c r="AN236">
        <f t="shared" si="234"/>
        <v>1.0000714710718235</v>
      </c>
      <c r="AO236">
        <f t="shared" si="235"/>
        <v>-1.1955485378792275E-2</v>
      </c>
      <c r="AP236" s="41" t="str">
        <f t="shared" si="236"/>
        <v>0,633698593937686-4,06528621488535i</v>
      </c>
      <c r="AQ236">
        <f t="shared" si="237"/>
        <v>12.286088807904349</v>
      </c>
      <c r="AR236" s="43">
        <f t="shared" si="238"/>
        <v>-81.140011750237989</v>
      </c>
      <c r="AS236" t="str">
        <f t="shared" si="215"/>
        <v>-0,0000166666666666667</v>
      </c>
      <c r="AT236" t="str">
        <f t="shared" si="216"/>
        <v>0,00001457880822786i</v>
      </c>
      <c r="AU236">
        <f t="shared" si="239"/>
        <v>1.457880822786E-5</v>
      </c>
      <c r="AV236">
        <f t="shared" si="240"/>
        <v>1.5707963267948966</v>
      </c>
      <c r="AW236" t="str">
        <f t="shared" si="217"/>
        <v>1+0,0675562591890754i</v>
      </c>
      <c r="AX236">
        <f t="shared" si="241"/>
        <v>1.0022793264133614</v>
      </c>
      <c r="AY236">
        <f t="shared" si="242"/>
        <v>6.745376752722726E-2</v>
      </c>
      <c r="AZ236" t="str">
        <f t="shared" si="218"/>
        <v>1+3,13829531323796i</v>
      </c>
      <c r="BA236">
        <f t="shared" si="243"/>
        <v>3.2937664569746508</v>
      </c>
      <c r="BB236">
        <f t="shared" si="244"/>
        <v>1.2623236120924182</v>
      </c>
      <c r="BC236" s="41" t="str">
        <f t="shared" si="245"/>
        <v>-3,49455672057487+1,37929105300419i</v>
      </c>
      <c r="BD236">
        <f t="shared" si="246"/>
        <v>11.496615128620938</v>
      </c>
      <c r="BE236" s="43">
        <f t="shared" si="247"/>
        <v>158.46099916103807</v>
      </c>
      <c r="BF236" s="41" t="str">
        <f t="shared" si="248"/>
        <v>1,22122721438078+4,73160951243858i</v>
      </c>
      <c r="BG236" s="20">
        <f t="shared" si="249"/>
        <v>13.780256744431389</v>
      </c>
      <c r="BH236" s="43">
        <f t="shared" si="250"/>
        <v>75.527813415837201</v>
      </c>
      <c r="BI236" s="41" t="str">
        <f t="shared" si="203"/>
        <v>3,39271722382885+15,0804280642076i</v>
      </c>
      <c r="BJ236" s="20">
        <f t="shared" si="251"/>
        <v>23.782703936525312</v>
      </c>
      <c r="BK236" s="43">
        <f t="shared" si="204"/>
        <v>77.320987410800115</v>
      </c>
      <c r="BL236">
        <f t="shared" si="252"/>
        <v>13.780256744431389</v>
      </c>
      <c r="BM236" s="43">
        <f t="shared" si="253"/>
        <v>75.527813415837201</v>
      </c>
    </row>
    <row r="237" spans="14:65" x14ac:dyDescent="0.25">
      <c r="N237" s="9">
        <v>19</v>
      </c>
      <c r="O237" s="34">
        <f t="shared" si="254"/>
        <v>1548.8166189124822</v>
      </c>
      <c r="P237" s="33" t="str">
        <f t="shared" si="206"/>
        <v>54,631621870174</v>
      </c>
      <c r="Q237" s="4" t="str">
        <f t="shared" si="207"/>
        <v>1+43,440452526387i</v>
      </c>
      <c r="R237" s="4">
        <f t="shared" si="219"/>
        <v>43.451961010951884</v>
      </c>
      <c r="S237" s="4">
        <f t="shared" si="220"/>
        <v>1.5477803737468745</v>
      </c>
      <c r="T237" s="4" t="str">
        <f t="shared" si="208"/>
        <v>1+0,147140307570813i</v>
      </c>
      <c r="U237" s="4">
        <f t="shared" si="221"/>
        <v>1.0107671690909006</v>
      </c>
      <c r="V237" s="4">
        <f t="shared" si="222"/>
        <v>0.14609201592196674</v>
      </c>
      <c r="W237" t="str">
        <f t="shared" si="209"/>
        <v>1-0,0387249432066041i</v>
      </c>
      <c r="X237" s="4">
        <f t="shared" si="223"/>
        <v>1.00074952971578</v>
      </c>
      <c r="Y237" s="4">
        <f t="shared" si="224"/>
        <v>-3.8705603023119782E-2</v>
      </c>
      <c r="Z237" t="str">
        <f t="shared" si="210"/>
        <v>0,999990404668324+0,00532049398759615i</v>
      </c>
      <c r="AA237" s="4">
        <f t="shared" si="225"/>
        <v>1.0000045585321051</v>
      </c>
      <c r="AB237" s="4">
        <f t="shared" si="226"/>
        <v>5.3204948358263624E-3</v>
      </c>
      <c r="AC237" s="47" t="str">
        <f t="shared" si="227"/>
        <v>0,15866114185874-1,26183621312142i</v>
      </c>
      <c r="AD237" s="20">
        <f t="shared" si="228"/>
        <v>2.0881850925266034</v>
      </c>
      <c r="AE237" s="43">
        <f t="shared" si="229"/>
        <v>-82.833336691737912</v>
      </c>
      <c r="AF237" t="str">
        <f t="shared" si="211"/>
        <v>171,265703090588</v>
      </c>
      <c r="AG237" t="str">
        <f t="shared" si="212"/>
        <v>1+43,0247266382634i</v>
      </c>
      <c r="AH237">
        <f t="shared" si="230"/>
        <v>43.036346293537655</v>
      </c>
      <c r="AI237">
        <f t="shared" si="231"/>
        <v>1.5475580620575966</v>
      </c>
      <c r="AJ237" t="str">
        <f t="shared" si="213"/>
        <v>1+0,147140307570813i</v>
      </c>
      <c r="AK237">
        <f t="shared" si="232"/>
        <v>1.0107671690909006</v>
      </c>
      <c r="AL237">
        <f t="shared" si="233"/>
        <v>0.14609201592196674</v>
      </c>
      <c r="AM237" t="str">
        <f t="shared" si="214"/>
        <v>1-0,0122345473224104i</v>
      </c>
      <c r="AN237">
        <f t="shared" si="234"/>
        <v>1.0000748392736336</v>
      </c>
      <c r="AO237">
        <f t="shared" si="235"/>
        <v>-1.2233936937963596E-2</v>
      </c>
      <c r="AP237" s="41" t="str">
        <f t="shared" si="236"/>
        <v>0,629356754431655-3,97317243745361i</v>
      </c>
      <c r="AQ237">
        <f t="shared" si="237"/>
        <v>12.090372730252533</v>
      </c>
      <c r="AR237" s="43">
        <f t="shared" si="238"/>
        <v>-80.999042527832827</v>
      </c>
      <c r="AS237" t="str">
        <f t="shared" si="215"/>
        <v>-0,0000166666666666667</v>
      </c>
      <c r="AT237" t="str">
        <f t="shared" si="216"/>
        <v>0,0000149183922953741i</v>
      </c>
      <c r="AU237">
        <f t="shared" si="239"/>
        <v>1.49183922953741E-5</v>
      </c>
      <c r="AV237">
        <f t="shared" si="240"/>
        <v>1.5707963267948966</v>
      </c>
      <c r="AW237" t="str">
        <f t="shared" si="217"/>
        <v>1+0,0691298466128831i</v>
      </c>
      <c r="AX237">
        <f t="shared" si="241"/>
        <v>1.0023866198691604</v>
      </c>
      <c r="AY237">
        <f t="shared" si="242"/>
        <v>6.902003893583035E-2</v>
      </c>
      <c r="AZ237" t="str">
        <f t="shared" si="218"/>
        <v>1+3,21139560174394i</v>
      </c>
      <c r="BA237">
        <f t="shared" si="243"/>
        <v>3.3634895140167043</v>
      </c>
      <c r="BB237">
        <f t="shared" si="244"/>
        <v>1.2689220230720004</v>
      </c>
      <c r="BC237" s="41" t="str">
        <f t="shared" si="245"/>
        <v>-3,49380865991041+1,35871565091671i</v>
      </c>
      <c r="BD237">
        <f t="shared" si="246"/>
        <v>11.477630870583608</v>
      </c>
      <c r="BE237" s="43">
        <f t="shared" si="247"/>
        <v>158.74931952037602</v>
      </c>
      <c r="BF237" s="41" t="str">
        <f t="shared" si="248"/>
        <v>1,16014494024421+4,62418966542796i</v>
      </c>
      <c r="BG237" s="20">
        <f t="shared" si="249"/>
        <v>13.565815963110211</v>
      </c>
      <c r="BH237" s="43">
        <f t="shared" si="250"/>
        <v>75.915982828638093</v>
      </c>
      <c r="BI237" s="41" t="str">
        <f t="shared" si="203"/>
        <v>3,19955949575269+14,7366211415492i</v>
      </c>
      <c r="BJ237" s="20">
        <f t="shared" si="251"/>
        <v>23.568003600836136</v>
      </c>
      <c r="BK237" s="43">
        <f t="shared" si="204"/>
        <v>77.750276992543206</v>
      </c>
      <c r="BL237">
        <f t="shared" si="252"/>
        <v>13.565815963110211</v>
      </c>
      <c r="BM237" s="43">
        <f t="shared" si="253"/>
        <v>75.915982828638093</v>
      </c>
    </row>
    <row r="238" spans="14:65" x14ac:dyDescent="0.25">
      <c r="N238" s="9">
        <v>20</v>
      </c>
      <c r="O238" s="34">
        <f t="shared" si="254"/>
        <v>1584.8931924611156</v>
      </c>
      <c r="P238" s="33" t="str">
        <f t="shared" si="206"/>
        <v>54,631621870174</v>
      </c>
      <c r="Q238" s="4" t="str">
        <f t="shared" si="207"/>
        <v>1+44,4523106517567i</v>
      </c>
      <c r="R238" s="4">
        <f t="shared" si="219"/>
        <v>44.463557238262908</v>
      </c>
      <c r="S238" s="4">
        <f t="shared" si="220"/>
        <v>1.5483041020654791</v>
      </c>
      <c r="T238" s="4" t="str">
        <f t="shared" si="208"/>
        <v>1+0,150567645619248i</v>
      </c>
      <c r="U238" s="4">
        <f t="shared" si="221"/>
        <v>1.0112717814254106</v>
      </c>
      <c r="V238" s="4">
        <f t="shared" si="222"/>
        <v>0.14944505596667881</v>
      </c>
      <c r="W238" t="str">
        <f t="shared" si="209"/>
        <v>1-0,0396269630097882i</v>
      </c>
      <c r="X238" s="4">
        <f t="shared" si="223"/>
        <v>1.0007848401116892</v>
      </c>
      <c r="Y238" s="4">
        <f t="shared" si="224"/>
        <v>-3.9606240507457785E-2</v>
      </c>
      <c r="Z238" t="str">
        <f t="shared" si="210"/>
        <v>0,999989952454274+0,00544442421297903i</v>
      </c>
      <c r="AA238" s="4">
        <f t="shared" si="225"/>
        <v>1.0000047733708635</v>
      </c>
      <c r="AB238" s="4">
        <f t="shared" si="226"/>
        <v>5.4444251218688971E-3</v>
      </c>
      <c r="AC238" s="47" t="str">
        <f t="shared" si="227"/>
        <v>0,15736068462349-1,23350491440475i</v>
      </c>
      <c r="AD238" s="20">
        <f t="shared" si="228"/>
        <v>1.8929284559525859</v>
      </c>
      <c r="AE238" s="43">
        <f t="shared" si="229"/>
        <v>-82.72993247997303</v>
      </c>
      <c r="AF238" t="str">
        <f t="shared" si="211"/>
        <v>171,265703090588</v>
      </c>
      <c r="AG238" t="str">
        <f t="shared" si="212"/>
        <v>1+44,02690126373i</v>
      </c>
      <c r="AH238">
        <f t="shared" si="230"/>
        <v>44.038256492352531</v>
      </c>
      <c r="AI238">
        <f t="shared" si="231"/>
        <v>1.5480868455789816</v>
      </c>
      <c r="AJ238" t="str">
        <f t="shared" si="213"/>
        <v>1+0,150567645619248i</v>
      </c>
      <c r="AK238">
        <f t="shared" si="232"/>
        <v>1.0112717814254106</v>
      </c>
      <c r="AL238">
        <f t="shared" si="233"/>
        <v>0.14944505596667881</v>
      </c>
      <c r="AM238" t="str">
        <f t="shared" si="214"/>
        <v>1-0,0125195265387498i</v>
      </c>
      <c r="AN238">
        <f t="shared" si="234"/>
        <v>1.0000783662017465</v>
      </c>
      <c r="AO238">
        <f t="shared" si="235"/>
        <v>-1.2518872502799384E-2</v>
      </c>
      <c r="AP238" s="41" t="str">
        <f t="shared" si="236"/>
        <v>0,625210123620549-3,88315620707162i</v>
      </c>
      <c r="AQ238">
        <f t="shared" si="237"/>
        <v>11.894844134079092</v>
      </c>
      <c r="AR238" s="43">
        <f t="shared" si="238"/>
        <v>-80.853550154082185</v>
      </c>
      <c r="AS238" t="str">
        <f t="shared" si="215"/>
        <v>-0,0000166666666666667</v>
      </c>
      <c r="AT238" t="str">
        <f t="shared" si="216"/>
        <v>0,0000152658862919515i</v>
      </c>
      <c r="AU238">
        <f t="shared" si="239"/>
        <v>1.5265886291951499E-5</v>
      </c>
      <c r="AV238">
        <f t="shared" si="240"/>
        <v>1.5707963267948966</v>
      </c>
      <c r="AW238" t="str">
        <f t="shared" si="217"/>
        <v>1+0,0707400875964068i</v>
      </c>
      <c r="AX238">
        <f t="shared" si="241"/>
        <v>1.0024989576020253</v>
      </c>
      <c r="AY238">
        <f t="shared" si="242"/>
        <v>7.0622442385429612E-2</v>
      </c>
      <c r="AZ238" t="str">
        <f t="shared" si="218"/>
        <v>1+3,28619861470581i</v>
      </c>
      <c r="BA238">
        <f t="shared" si="243"/>
        <v>3.4349819992678832</v>
      </c>
      <c r="BB238">
        <f t="shared" si="244"/>
        <v>1.275396543144852</v>
      </c>
      <c r="BC238" s="41" t="str">
        <f t="shared" si="245"/>
        <v>-3,49302568741877+1,33885580648957i</v>
      </c>
      <c r="BD238">
        <f t="shared" si="246"/>
        <v>11.459345244174417</v>
      </c>
      <c r="BE238" s="43">
        <f t="shared" si="247"/>
        <v>159.0284712401839</v>
      </c>
      <c r="BF238" s="41" t="str">
        <f t="shared" si="248"/>
        <v>1,10182030340457+4,51934761789442i</v>
      </c>
      <c r="BG238" s="20">
        <f t="shared" si="249"/>
        <v>13.352273700127011</v>
      </c>
      <c r="BH238" s="43">
        <f t="shared" si="250"/>
        <v>76.298538760210832</v>
      </c>
      <c r="BI238" s="41" t="str">
        <f t="shared" si="203"/>
        <v>3,01511121350301+14,4010305838462i</v>
      </c>
      <c r="BJ238" s="20">
        <f t="shared" si="251"/>
        <v>23.354189378253487</v>
      </c>
      <c r="BK238" s="43">
        <f t="shared" si="204"/>
        <v>78.174921086101691</v>
      </c>
      <c r="BL238">
        <f t="shared" si="252"/>
        <v>13.352273700127011</v>
      </c>
      <c r="BM238" s="43">
        <f t="shared" si="253"/>
        <v>76.298538760210832</v>
      </c>
    </row>
    <row r="239" spans="14:65" x14ac:dyDescent="0.25">
      <c r="N239" s="9">
        <v>21</v>
      </c>
      <c r="O239" s="34">
        <f t="shared" si="254"/>
        <v>1621.8100973589308</v>
      </c>
      <c r="P239" s="33" t="str">
        <f t="shared" si="206"/>
        <v>54,631621870174</v>
      </c>
      <c r="Q239" s="4" t="str">
        <f t="shared" si="207"/>
        <v>1+45,4877379806295i</v>
      </c>
      <c r="R239" s="4">
        <f t="shared" si="219"/>
        <v>45.498728626131992</v>
      </c>
      <c r="S239" s="4">
        <f t="shared" si="220"/>
        <v>1.5488159207972241</v>
      </c>
      <c r="T239" s="4" t="str">
        <f t="shared" si="208"/>
        <v>1+0,154074816626388i</v>
      </c>
      <c r="U239" s="4">
        <f t="shared" si="221"/>
        <v>1.0117999056722899</v>
      </c>
      <c r="V239" s="4">
        <f t="shared" si="222"/>
        <v>0.15287269649492782</v>
      </c>
      <c r="W239" t="str">
        <f t="shared" si="209"/>
        <v>1-0,0405499935532848i</v>
      </c>
      <c r="X239" s="4">
        <f t="shared" si="223"/>
        <v>1.0008218133000357</v>
      </c>
      <c r="Y239" s="4">
        <f t="shared" si="224"/>
        <v>-4.0527789976611439E-2</v>
      </c>
      <c r="Z239" t="str">
        <f t="shared" si="210"/>
        <v>0,999989478928032+0,00557124114414508i</v>
      </c>
      <c r="AA239" s="4">
        <f t="shared" si="225"/>
        <v>1.0000049983348298</v>
      </c>
      <c r="AB239" s="4">
        <f t="shared" si="226"/>
        <v>5.5712421180323076E-3</v>
      </c>
      <c r="AC239" s="47" t="str">
        <f t="shared" si="227"/>
        <v>0,156118523434913-1,20582500673794i</v>
      </c>
      <c r="AD239" s="20">
        <f t="shared" si="228"/>
        <v>1.6978811742490958</v>
      </c>
      <c r="AE239" s="43">
        <f t="shared" si="229"/>
        <v>-82.6229351710668</v>
      </c>
      <c r="AF239" t="str">
        <f t="shared" si="211"/>
        <v>171,265703090588</v>
      </c>
      <c r="AG239" t="str">
        <f t="shared" si="212"/>
        <v>1+45,0524195350115i</v>
      </c>
      <c r="AH239">
        <f t="shared" si="230"/>
        <v>45.063516351464251</v>
      </c>
      <c r="AI239">
        <f t="shared" si="231"/>
        <v>1.5486036047918323</v>
      </c>
      <c r="AJ239" t="str">
        <f t="shared" si="213"/>
        <v>1+0,154074816626388i</v>
      </c>
      <c r="AK239">
        <f t="shared" si="232"/>
        <v>1.0117999056722899</v>
      </c>
      <c r="AL239">
        <f t="shared" si="233"/>
        <v>0.15287269649492782</v>
      </c>
      <c r="AM239" t="str">
        <f t="shared" si="214"/>
        <v>1-0,0128111437737755i</v>
      </c>
      <c r="AN239">
        <f t="shared" si="234"/>
        <v>1.0000820593355289</v>
      </c>
      <c r="AO239">
        <f t="shared" si="235"/>
        <v>-1.2810442964733972E-2</v>
      </c>
      <c r="AP239" s="41" t="str">
        <f t="shared" si="236"/>
        <v>0,621249933801899-3,79519040147977i</v>
      </c>
      <c r="AQ239">
        <f t="shared" si="237"/>
        <v>11.699511913626603</v>
      </c>
      <c r="AR239" s="43">
        <f t="shared" si="238"/>
        <v>-80.703474696945875</v>
      </c>
      <c r="AS239" t="str">
        <f t="shared" si="215"/>
        <v>-0,0000166666666666667</v>
      </c>
      <c r="AT239" t="str">
        <f t="shared" si="216"/>
        <v>0,0000156214744635088i</v>
      </c>
      <c r="AU239">
        <f t="shared" si="239"/>
        <v>1.56214744635088E-5</v>
      </c>
      <c r="AV239">
        <f t="shared" si="240"/>
        <v>1.5707963267948966</v>
      </c>
      <c r="AW239" t="str">
        <f t="shared" si="217"/>
        <v>1+0,0723878359107295i</v>
      </c>
      <c r="AX239">
        <f t="shared" si="241"/>
        <v>1.0026165761585226</v>
      </c>
      <c r="AY239">
        <f t="shared" si="242"/>
        <v>7.226179455716665E-2</v>
      </c>
      <c r="AZ239" t="str">
        <f t="shared" si="218"/>
        <v>1+3,36274401367116i</v>
      </c>
      <c r="BA239">
        <f t="shared" si="243"/>
        <v>3.5082826712625681</v>
      </c>
      <c r="BB239">
        <f t="shared" si="244"/>
        <v>1.2817484331307283</v>
      </c>
      <c r="BC239" s="41" t="str">
        <f t="shared" si="245"/>
        <v>-3,49220619061307+1,31970064630083i</v>
      </c>
      <c r="BD239">
        <f t="shared" si="246"/>
        <v>11.441728484721331</v>
      </c>
      <c r="BE239" s="43">
        <f t="shared" si="247"/>
        <v>159.29847976772987</v>
      </c>
      <c r="BF239" s="41" t="str">
        <f t="shared" si="248"/>
        <v>1,04612996670899+4,41701926960287i</v>
      </c>
      <c r="BG239" s="20">
        <f t="shared" si="249"/>
        <v>13.139609658970436</v>
      </c>
      <c r="BH239" s="43">
        <f t="shared" si="250"/>
        <v>76.675544596663059</v>
      </c>
      <c r="BI239" s="41" t="str">
        <f t="shared" si="203"/>
        <v>2,83898236092661+14,0734513537557i</v>
      </c>
      <c r="BJ239" s="20">
        <f t="shared" si="251"/>
        <v>23.141240398347954</v>
      </c>
      <c r="BK239" s="43">
        <f t="shared" si="204"/>
        <v>78.595005070784012</v>
      </c>
      <c r="BL239">
        <f t="shared" si="252"/>
        <v>13.139609658970436</v>
      </c>
      <c r="BM239" s="43">
        <f t="shared" si="253"/>
        <v>76.675544596663059</v>
      </c>
    </row>
    <row r="240" spans="14:65" x14ac:dyDescent="0.25">
      <c r="N240" s="9">
        <v>22</v>
      </c>
      <c r="O240" s="34">
        <f t="shared" si="254"/>
        <v>1659.5869074375626</v>
      </c>
      <c r="P240" s="33" t="str">
        <f t="shared" si="206"/>
        <v>54,631621870174</v>
      </c>
      <c r="Q240" s="4" t="str">
        <f t="shared" si="207"/>
        <v>1+46,5472835102815i</v>
      </c>
      <c r="R240" s="4">
        <f t="shared" si="219"/>
        <v>46.558024036534498</v>
      </c>
      <c r="S240" s="4">
        <f t="shared" si="220"/>
        <v>1.5493161002419593</v>
      </c>
      <c r="T240" s="4" t="str">
        <f t="shared" si="208"/>
        <v>1+0,157663680140725i</v>
      </c>
      <c r="U240" s="4">
        <f t="shared" si="221"/>
        <v>1.0123526243535486</v>
      </c>
      <c r="V240" s="4">
        <f t="shared" si="222"/>
        <v>0.15637643255785183</v>
      </c>
      <c r="W240" t="str">
        <f t="shared" si="209"/>
        <v>1-0,0414945242401062i</v>
      </c>
      <c r="X240" s="4">
        <f t="shared" si="223"/>
        <v>1.0008605275171525</v>
      </c>
      <c r="Y240" s="4">
        <f t="shared" si="224"/>
        <v>-4.1470733783705124E-2</v>
      </c>
      <c r="Z240" t="str">
        <f t="shared" si="210"/>
        <v>0,999988983085187+0,00570101202110989i</v>
      </c>
      <c r="AA240" s="4">
        <f t="shared" si="225"/>
        <v>1.0000052339012089</v>
      </c>
      <c r="AB240" s="4">
        <f t="shared" si="226"/>
        <v>5.7010130646423275E-3</v>
      </c>
      <c r="AC240" s="47" t="str">
        <f t="shared" si="227"/>
        <v>0,154932031308291-1,17878198912481i</v>
      </c>
      <c r="AD240" s="20">
        <f t="shared" si="228"/>
        <v>1.5030531042411357</v>
      </c>
      <c r="AE240" s="43">
        <f t="shared" si="229"/>
        <v>-82.512306081324681</v>
      </c>
      <c r="AF240" t="str">
        <f t="shared" si="211"/>
        <v>171,265703090588</v>
      </c>
      <c r="AG240" t="str">
        <f t="shared" si="212"/>
        <v>1+46,1018251954699i</v>
      </c>
      <c r="AH240">
        <f t="shared" si="230"/>
        <v>46.112669477635578</v>
      </c>
      <c r="AI240">
        <f t="shared" si="231"/>
        <v>1.5491086125841271</v>
      </c>
      <c r="AJ240" t="str">
        <f t="shared" si="213"/>
        <v>1+0,157663680140725i</v>
      </c>
      <c r="AK240">
        <f t="shared" si="232"/>
        <v>1.0123526243535486</v>
      </c>
      <c r="AL240">
        <f t="shared" si="233"/>
        <v>0.15637643255785183</v>
      </c>
      <c r="AM240" t="str">
        <f t="shared" si="214"/>
        <v>1-0,0131095536468058i</v>
      </c>
      <c r="AN240">
        <f t="shared" si="234"/>
        <v>1.000085926506727</v>
      </c>
      <c r="AO240">
        <f t="shared" si="235"/>
        <v>-1.3108802719873087E-2</v>
      </c>
      <c r="AP240" s="41" t="str">
        <f t="shared" si="236"/>
        <v>0,61746781029084-3,70922894523099i</v>
      </c>
      <c r="AQ240">
        <f t="shared" si="237"/>
        <v>11.504385324557626</v>
      </c>
      <c r="AR240" s="43">
        <f t="shared" si="238"/>
        <v>-80.548754977878275</v>
      </c>
      <c r="AS240" t="str">
        <f t="shared" si="215"/>
        <v>-0,0000166666666666667</v>
      </c>
      <c r="AT240" t="str">
        <f t="shared" si="216"/>
        <v>0,0000159853453476013i</v>
      </c>
      <c r="AU240">
        <f t="shared" si="239"/>
        <v>1.5985345347601299E-5</v>
      </c>
      <c r="AV240">
        <f t="shared" si="240"/>
        <v>1.5707963267948966</v>
      </c>
      <c r="AW240" t="str">
        <f t="shared" si="217"/>
        <v>1+0,0740739652138189i</v>
      </c>
      <c r="AX240">
        <f t="shared" si="241"/>
        <v>1.0027397231198623</v>
      </c>
      <c r="AY240">
        <f t="shared" si="242"/>
        <v>7.3938929391737532E-2</v>
      </c>
      <c r="AZ240" t="str">
        <f t="shared" si="218"/>
        <v>1+3,44107238402377i</v>
      </c>
      <c r="BA240">
        <f t="shared" si="243"/>
        <v>3.583431198180179</v>
      </c>
      <c r="BB240">
        <f t="shared" si="244"/>
        <v>1.2879790099092587</v>
      </c>
      <c r="BC240" s="41" t="str">
        <f t="shared" si="245"/>
        <v>-3,49134848414506+1,30123964641981i</v>
      </c>
      <c r="BD240">
        <f t="shared" si="246"/>
        <v>11.42475154327869</v>
      </c>
      <c r="BE240" s="43">
        <f t="shared" si="247"/>
        <v>159.55937277337662</v>
      </c>
      <c r="BF240" s="41" t="str">
        <f t="shared" si="248"/>
        <v>0,992956146081091+4,31714241250711i</v>
      </c>
      <c r="BG240" s="20">
        <f t="shared" si="249"/>
        <v>12.927804647519832</v>
      </c>
      <c r="BH240" s="43">
        <f t="shared" si="250"/>
        <v>77.047066692051956</v>
      </c>
      <c r="BI240" s="41" t="str">
        <f t="shared" si="203"/>
        <v>2,6708004577152+13,7536844504177i</v>
      </c>
      <c r="BJ240" s="20">
        <f t="shared" si="251"/>
        <v>22.929136867836341</v>
      </c>
      <c r="BK240" s="43">
        <f t="shared" si="204"/>
        <v>79.010617795498405</v>
      </c>
      <c r="BL240">
        <f t="shared" si="252"/>
        <v>12.927804647519832</v>
      </c>
      <c r="BM240" s="43">
        <f t="shared" si="253"/>
        <v>77.047066692051956</v>
      </c>
    </row>
    <row r="241" spans="14:65" x14ac:dyDescent="0.25">
      <c r="N241" s="9">
        <v>23</v>
      </c>
      <c r="O241" s="34">
        <f t="shared" si="254"/>
        <v>1698.2436524617447</v>
      </c>
      <c r="P241" s="33" t="str">
        <f t="shared" si="206"/>
        <v>54,631621870174</v>
      </c>
      <c r="Q241" s="4" t="str">
        <f t="shared" si="207"/>
        <v>1+47,6315090257764i</v>
      </c>
      <c r="R241" s="4">
        <f t="shared" si="219"/>
        <v>47.642005122293277</v>
      </c>
      <c r="S241" s="4">
        <f t="shared" si="220"/>
        <v>1.5498049045997959</v>
      </c>
      <c r="T241" s="4" t="str">
        <f t="shared" si="208"/>
        <v>1+0,161336139025198i</v>
      </c>
      <c r="U241" s="4">
        <f t="shared" si="221"/>
        <v>1.0129310686100796</v>
      </c>
      <c r="V241" s="4">
        <f t="shared" si="222"/>
        <v>0.1599577776065664</v>
      </c>
      <c r="W241" t="str">
        <f t="shared" si="209"/>
        <v>1-0,0424610558729244i</v>
      </c>
      <c r="X241" s="4">
        <f t="shared" si="223"/>
        <v>1.0009010646741483</v>
      </c>
      <c r="Y241" s="4">
        <f t="shared" si="224"/>
        <v>-4.2435565178907418E-2</v>
      </c>
      <c r="Z241" t="str">
        <f t="shared" si="210"/>
        <v>0,999988463873988+0,00583380565011007i</v>
      </c>
      <c r="AA241" s="4">
        <f t="shared" si="225"/>
        <v>1.0000054805696923</v>
      </c>
      <c r="AB241" s="4">
        <f t="shared" si="226"/>
        <v>5.8338067682679028E-3</v>
      </c>
      <c r="AC241" s="47" t="str">
        <f t="shared" si="227"/>
        <v>0,153798698654322-1,15236168657099i</v>
      </c>
      <c r="AD241" s="20">
        <f t="shared" si="228"/>
        <v>1.3084545072278644</v>
      </c>
      <c r="AE241" s="43">
        <f t="shared" si="229"/>
        <v>-82.398005837415326</v>
      </c>
      <c r="AF241" t="str">
        <f t="shared" si="211"/>
        <v>171,265703090588</v>
      </c>
      <c r="AG241" t="str">
        <f t="shared" si="212"/>
        <v>1+47,1756746538765i</v>
      </c>
      <c r="AH241">
        <f t="shared" si="230"/>
        <v>47.186272146127472</v>
      </c>
      <c r="AI241">
        <f t="shared" si="231"/>
        <v>1.5496021356867429</v>
      </c>
      <c r="AJ241" t="str">
        <f t="shared" si="213"/>
        <v>1+0,161336139025198i</v>
      </c>
      <c r="AK241">
        <f t="shared" si="232"/>
        <v>1.0129310686100796</v>
      </c>
      <c r="AL241">
        <f t="shared" si="233"/>
        <v>0.1599577776065664</v>
      </c>
      <c r="AM241" t="str">
        <f t="shared" si="214"/>
        <v>1-0,0134149143787049i</v>
      </c>
      <c r="AN241">
        <f t="shared" si="234"/>
        <v>1.0000899759160613</v>
      </c>
      <c r="AO241">
        <f t="shared" si="235"/>
        <v>-1.3414109749909387E-2</v>
      </c>
      <c r="AP241" s="41" t="str">
        <f t="shared" si="236"/>
        <v>0,613855753871445-3,6252267879469i</v>
      </c>
      <c r="AQ241">
        <f t="shared" si="237"/>
        <v>11.309473998516321</v>
      </c>
      <c r="AR241" s="43">
        <f t="shared" si="238"/>
        <v>-80.389328616755691</v>
      </c>
      <c r="AS241" t="str">
        <f t="shared" si="215"/>
        <v>-0,0000166666666666667</v>
      </c>
      <c r="AT241" t="str">
        <f t="shared" si="216"/>
        <v>0,0000163576918733882i</v>
      </c>
      <c r="AU241">
        <f t="shared" si="239"/>
        <v>1.6357691873388201E-5</v>
      </c>
      <c r="AV241">
        <f t="shared" si="240"/>
        <v>1.5707963267948966</v>
      </c>
      <c r="AW241" t="str">
        <f t="shared" si="217"/>
        <v>1+0,0757993695137489i</v>
      </c>
      <c r="AX241">
        <f t="shared" si="241"/>
        <v>1.0028686576110961</v>
      </c>
      <c r="AY241">
        <f t="shared" si="242"/>
        <v>7.5654698367772444E-2</v>
      </c>
      <c r="AZ241" t="str">
        <f t="shared" si="218"/>
        <v>1+3,52122525650234i</v>
      </c>
      <c r="BA241">
        <f t="shared" si="243"/>
        <v>3.6604681813983815</v>
      </c>
      <c r="BB241">
        <f t="shared" si="244"/>
        <v>1.2940896413066616</v>
      </c>
      <c r="BC241" s="41" t="str">
        <f t="shared" si="245"/>
        <v>-3,49045080666784+1,28346262515153i</v>
      </c>
      <c r="BD241">
        <f t="shared" si="246"/>
        <v>11.40838607746667</v>
      </c>
      <c r="BE241" s="43">
        <f t="shared" si="247"/>
        <v>159.81117984166161</v>
      </c>
      <c r="BF241" s="41" t="str">
        <f t="shared" si="248"/>
        <v>0,942186363588005+4,21965665998459i</v>
      </c>
      <c r="BG241" s="20">
        <f t="shared" si="249"/>
        <v>12.716840584694534</v>
      </c>
      <c r="BH241" s="43">
        <f t="shared" si="250"/>
        <v>77.413174004246287</v>
      </c>
      <c r="BI241" s="41" t="str">
        <f t="shared" si="203"/>
        <v>2,5102097787497+13,4415366836713i</v>
      </c>
      <c r="BJ241" s="20">
        <f t="shared" si="251"/>
        <v>22.717860075982973</v>
      </c>
      <c r="BK241" s="43">
        <f t="shared" si="204"/>
        <v>79.421851224905865</v>
      </c>
      <c r="BL241">
        <f t="shared" si="252"/>
        <v>12.716840584694534</v>
      </c>
      <c r="BM241" s="43">
        <f t="shared" si="253"/>
        <v>77.413174004246287</v>
      </c>
    </row>
    <row r="242" spans="14:65" x14ac:dyDescent="0.25">
      <c r="N242" s="9">
        <v>24</v>
      </c>
      <c r="O242" s="34">
        <f t="shared" si="254"/>
        <v>1737.8008287493772</v>
      </c>
      <c r="P242" s="33" t="str">
        <f t="shared" si="206"/>
        <v>54,631621870174</v>
      </c>
      <c r="Q242" s="4" t="str">
        <f t="shared" si="207"/>
        <v>1+48,7409893978346i</v>
      </c>
      <c r="R242" s="4">
        <f t="shared" si="219"/>
        <v>48.751246624879499</v>
      </c>
      <c r="S242" s="4">
        <f t="shared" si="220"/>
        <v>1.5502825921064203</v>
      </c>
      <c r="T242" s="4" t="str">
        <f t="shared" si="208"/>
        <v>1+0,165094140466119i</v>
      </c>
      <c r="U242" s="4">
        <f t="shared" si="221"/>
        <v>1.0135364202712436</v>
      </c>
      <c r="V242" s="4">
        <f t="shared" si="222"/>
        <v>0.16361826285451306</v>
      </c>
      <c r="W242" t="str">
        <f t="shared" si="209"/>
        <v>1-0,0434501009196053i</v>
      </c>
      <c r="X242" s="4">
        <f t="shared" si="223"/>
        <v>1.0009435105289028</v>
      </c>
      <c r="Y242" s="4">
        <f t="shared" si="224"/>
        <v>-4.3422788539211811E-2</v>
      </c>
      <c r="Z242" t="str">
        <f t="shared" si="210"/>
        <v>0,999987920193118+0,00596969244008553i</v>
      </c>
      <c r="AA242" s="4">
        <f t="shared" si="225"/>
        <v>1.0000057388635262</v>
      </c>
      <c r="AB242" s="4">
        <f t="shared" si="226"/>
        <v>5.9696936382050269E-3</v>
      </c>
      <c r="AC242" s="47" t="str">
        <f t="shared" si="227"/>
        <v>0,15271612801622-1,12655024334563i</v>
      </c>
      <c r="AD242" s="20">
        <f t="shared" si="228"/>
        <v>1.1140960651938339</v>
      </c>
      <c r="AE242" s="43">
        <f t="shared" si="229"/>
        <v>-82.279994435914588</v>
      </c>
      <c r="AF242" t="str">
        <f t="shared" si="211"/>
        <v>171,265703090588</v>
      </c>
      <c r="AG242" t="str">
        <f t="shared" si="212"/>
        <v>1+48,2745372794288i</v>
      </c>
      <c r="AH242">
        <f t="shared" si="230"/>
        <v>48.284893595647077</v>
      </c>
      <c r="AI242">
        <f t="shared" si="231"/>
        <v>1.55008443480997</v>
      </c>
      <c r="AJ242" t="str">
        <f t="shared" si="213"/>
        <v>1+0,165094140466119i</v>
      </c>
      <c r="AK242">
        <f t="shared" si="232"/>
        <v>1.0135364202712436</v>
      </c>
      <c r="AL242">
        <f t="shared" si="233"/>
        <v>0.16361826285451306</v>
      </c>
      <c r="AM242" t="str">
        <f t="shared" si="214"/>
        <v>1-0,0137273878757751i</v>
      </c>
      <c r="AN242">
        <f t="shared" si="234"/>
        <v>1.0000942161506046</v>
      </c>
      <c r="AO242">
        <f t="shared" si="235"/>
        <v>-1.3726525704873871E-2</v>
      </c>
      <c r="AP242" s="41" t="str">
        <f t="shared" si="236"/>
        <v>0,610406124025549-3,5431398829387i</v>
      </c>
      <c r="AQ242">
        <f t="shared" si="237"/>
        <v>11.114787958033986</v>
      </c>
      <c r="AR242" s="43">
        <f t="shared" si="238"/>
        <v>-80.225132080974277</v>
      </c>
      <c r="AS242" t="str">
        <f t="shared" si="215"/>
        <v>-0,0000166666666666667</v>
      </c>
      <c r="AT242" t="str">
        <f t="shared" si="216"/>
        <v>0,000016738711463926i</v>
      </c>
      <c r="AU242">
        <f t="shared" si="239"/>
        <v>1.6738711463925999E-5</v>
      </c>
      <c r="AV242">
        <f t="shared" si="240"/>
        <v>1.5707963267948966</v>
      </c>
      <c r="AW242" t="str">
        <f t="shared" si="217"/>
        <v>1+0,077564963642719i</v>
      </c>
      <c r="AX242">
        <f t="shared" si="241"/>
        <v>1.003003650833284</v>
      </c>
      <c r="AY242">
        <f t="shared" si="242"/>
        <v>7.7409970778162598E-2</v>
      </c>
      <c r="AZ242" t="str">
        <f t="shared" si="218"/>
        <v>1+3,60324512922086i</v>
      </c>
      <c r="BA242">
        <f t="shared" si="243"/>
        <v>3.7394351794427263</v>
      </c>
      <c r="BB242">
        <f t="shared" si="244"/>
        <v>1.3000817411941401</v>
      </c>
      <c r="BC242" s="41" t="str">
        <f t="shared" si="245"/>
        <v>-3,48951131757907+1,26635973584895i</v>
      </c>
      <c r="BD242">
        <f t="shared" si="246"/>
        <v>11.392604440363048</v>
      </c>
      <c r="BE242" s="43">
        <f t="shared" si="247"/>
        <v>160.05393217462378</v>
      </c>
      <c r="BF242" s="41" t="str">
        <f t="shared" si="248"/>
        <v>0,893713211494289+4,12450337951053i</v>
      </c>
      <c r="BG242" s="20">
        <f t="shared" si="249"/>
        <v>12.506700505556891</v>
      </c>
      <c r="BH242" s="43">
        <f t="shared" si="250"/>
        <v>77.773937738709236</v>
      </c>
      <c r="BI242" s="41" t="str">
        <f t="shared" ref="BI242:BI305" si="255">IMPRODUCT(AP242,BC242)</f>
        <v>2,35687060812741+13,136820459262i</v>
      </c>
      <c r="BJ242" s="20">
        <f t="shared" si="251"/>
        <v>22.507392398397066</v>
      </c>
      <c r="BK242" s="43">
        <f t="shared" ref="BK242:BK305" si="256">(180/PI())*IMARGUMENT(BI242)</f>
        <v>79.828800093649548</v>
      </c>
      <c r="BL242">
        <f t="shared" si="252"/>
        <v>12.506700505556891</v>
      </c>
      <c r="BM242" s="43">
        <f t="shared" si="253"/>
        <v>77.773937738709236</v>
      </c>
    </row>
    <row r="243" spans="14:65" x14ac:dyDescent="0.25">
      <c r="N243" s="9">
        <v>25</v>
      </c>
      <c r="O243" s="34">
        <f t="shared" si="254"/>
        <v>1778.2794100389244</v>
      </c>
      <c r="P243" s="33" t="str">
        <f t="shared" si="206"/>
        <v>54,631621870174</v>
      </c>
      <c r="Q243" s="4" t="str">
        <f t="shared" si="207"/>
        <v>1+49,8763128876349i</v>
      </c>
      <c r="R243" s="4">
        <f t="shared" si="219"/>
        <v>49.886336679147483</v>
      </c>
      <c r="S243" s="4">
        <f t="shared" si="220"/>
        <v>1.5507494151655605</v>
      </c>
      <c r="T243" s="4" t="str">
        <f t="shared" si="208"/>
        <v>1+0,168939677005595i</v>
      </c>
      <c r="U243" s="4">
        <f t="shared" si="221"/>
        <v>1.0141699140019658</v>
      </c>
      <c r="V243" s="4">
        <f t="shared" si="222"/>
        <v>0.1673594365611171</v>
      </c>
      <c r="W243" t="str">
        <f t="shared" si="209"/>
        <v>1-0,0444621837849238i</v>
      </c>
      <c r="X243" s="4">
        <f t="shared" si="223"/>
        <v>1.0009879548660534</v>
      </c>
      <c r="Y243" s="4">
        <f t="shared" si="224"/>
        <v>-4.4432919601864615E-2</v>
      </c>
      <c r="Z243" t="str">
        <f t="shared" si="210"/>
        <v>0,999987350889359+0,00610874444001094i</v>
      </c>
      <c r="AA243" s="4">
        <f t="shared" si="225"/>
        <v>1.0000060093306196</v>
      </c>
      <c r="AB243" s="4">
        <f t="shared" si="226"/>
        <v>6.1087457238098953E-3</v>
      </c>
      <c r="AC243" s="47" t="str">
        <f t="shared" si="227"/>
        <v>0,151682029039402-1,10133411636075i</v>
      </c>
      <c r="AD243" s="20">
        <f t="shared" si="228"/>
        <v>0.91998889741859824</v>
      </c>
      <c r="AE243" s="43">
        <f t="shared" si="229"/>
        <v>-82.158231307451658</v>
      </c>
      <c r="AF243" t="str">
        <f t="shared" si="211"/>
        <v>171,265703090588</v>
      </c>
      <c r="AG243" t="str">
        <f t="shared" si="212"/>
        <v>1+49,3989957036357i</v>
      </c>
      <c r="AH243">
        <f t="shared" si="230"/>
        <v>49.409116330165411</v>
      </c>
      <c r="AI243">
        <f t="shared" si="231"/>
        <v>1.5505557647771631</v>
      </c>
      <c r="AJ243" t="str">
        <f t="shared" si="213"/>
        <v>1+0,168939677005595i</v>
      </c>
      <c r="AK243">
        <f t="shared" si="232"/>
        <v>1.0141699140019658</v>
      </c>
      <c r="AL243">
        <f t="shared" si="233"/>
        <v>0.1673594365611171</v>
      </c>
      <c r="AM243" t="str">
        <f t="shared" si="214"/>
        <v>1-0,0140471398156005i</v>
      </c>
      <c r="AN243">
        <f t="shared" si="234"/>
        <v>1.0000986562019765</v>
      </c>
      <c r="AO243">
        <f t="shared" si="235"/>
        <v>-1.4046215987757332E-2</v>
      </c>
      <c r="AP243" s="41" t="str">
        <f t="shared" si="236"/>
        <v>0,607111622905245-3,46292516619401i</v>
      </c>
      <c r="AQ243">
        <f t="shared" si="237"/>
        <v>10.920337631773119</v>
      </c>
      <c r="AR243" s="43">
        <f t="shared" si="238"/>
        <v>-80.056100738999305</v>
      </c>
      <c r="AS243" t="str">
        <f t="shared" si="215"/>
        <v>-0,0000166666666666667</v>
      </c>
      <c r="AT243" t="str">
        <f t="shared" si="216"/>
        <v>0,000017128606140845i</v>
      </c>
      <c r="AU243">
        <f t="shared" si="239"/>
        <v>1.7128606140845001E-5</v>
      </c>
      <c r="AV243">
        <f t="shared" si="240"/>
        <v>1.5707963267948966</v>
      </c>
      <c r="AW243" t="str">
        <f t="shared" si="217"/>
        <v>1+0,0793716837421062i</v>
      </c>
      <c r="AX243">
        <f t="shared" si="241"/>
        <v>1.0031449866196096</v>
      </c>
      <c r="AY243">
        <f t="shared" si="242"/>
        <v>7.9205634003694236E-2</v>
      </c>
      <c r="AZ243" t="str">
        <f t="shared" si="218"/>
        <v>1+3,68717549020148i</v>
      </c>
      <c r="BA243">
        <f t="shared" si="243"/>
        <v>3.8203747323453139</v>
      </c>
      <c r="BB243">
        <f t="shared" si="244"/>
        <v>1.3059567647994839</v>
      </c>
      <c r="BC243" s="41" t="str">
        <f t="shared" si="245"/>
        <v>-3,48852809364056+1,24992145978166i</v>
      </c>
      <c r="BD243">
        <f t="shared" si="246"/>
        <v>11.377379667609741</v>
      </c>
      <c r="BE243" s="43">
        <f t="shared" si="247"/>
        <v>160.28766230750006</v>
      </c>
      <c r="BF243" s="41" t="str">
        <f t="shared" si="248"/>
        <v>0,847434126824616+4,03162562856885i</v>
      </c>
      <c r="BG243" s="20">
        <f t="shared" si="249"/>
        <v>12.297368565028339</v>
      </c>
      <c r="BH243" s="43">
        <f t="shared" si="250"/>
        <v>78.129431000048413</v>
      </c>
      <c r="BI243" s="41" t="str">
        <f t="shared" si="255"/>
        <v>2,2104585263632+12,8393535743948i</v>
      </c>
      <c r="BJ243" s="20">
        <f t="shared" si="251"/>
        <v>22.297717299382832</v>
      </c>
      <c r="BK243" s="43">
        <f t="shared" si="256"/>
        <v>80.231561568500766</v>
      </c>
      <c r="BL243">
        <f t="shared" si="252"/>
        <v>12.297368565028339</v>
      </c>
      <c r="BM243" s="43">
        <f t="shared" si="253"/>
        <v>78.129431000048413</v>
      </c>
    </row>
    <row r="244" spans="14:65" x14ac:dyDescent="0.25">
      <c r="N244" s="9">
        <v>26</v>
      </c>
      <c r="O244" s="34">
        <f t="shared" si="254"/>
        <v>1819.7008586099832</v>
      </c>
      <c r="P244" s="33" t="str">
        <f t="shared" si="206"/>
        <v>54,631621870174</v>
      </c>
      <c r="Q244" s="4" t="str">
        <f t="shared" si="207"/>
        <v>1+51,0380814587187i</v>
      </c>
      <c r="R244" s="4">
        <f t="shared" si="219"/>
        <v>51.047877125173443</v>
      </c>
      <c r="S244" s="4">
        <f t="shared" si="220"/>
        <v>1.5512056204786602</v>
      </c>
      <c r="T244" s="4" t="str">
        <f t="shared" si="208"/>
        <v>1+0,172874787597998i</v>
      </c>
      <c r="U244" s="4">
        <f t="shared" si="221"/>
        <v>1.0148328395292758</v>
      </c>
      <c r="V244" s="4">
        <f t="shared" si="222"/>
        <v>0.17118286323174345</v>
      </c>
      <c r="W244" t="str">
        <f t="shared" si="209"/>
        <v>1-0,0454978410886112i</v>
      </c>
      <c r="X244" s="4">
        <f t="shared" si="223"/>
        <v>1.0010344916853389</v>
      </c>
      <c r="Y244" s="4">
        <f t="shared" si="224"/>
        <v>-4.5466485701413366E-2</v>
      </c>
      <c r="Z244" t="str">
        <f t="shared" si="210"/>
        <v>0,999986754755141+0,00625103537709717i</v>
      </c>
      <c r="AA244" s="4">
        <f t="shared" si="225"/>
        <v>1.000006292544704</v>
      </c>
      <c r="AB244" s="4">
        <f t="shared" si="226"/>
        <v>6.251036752702192E-3</v>
      </c>
      <c r="AC244" s="47" t="str">
        <f t="shared" si="227"/>
        <v>0,150694213663505-1,0767000686681i</v>
      </c>
      <c r="AD244" s="20">
        <f t="shared" si="228"/>
        <v>0.7261445774775821</v>
      </c>
      <c r="AE244" s="43">
        <f t="shared" si="229"/>
        <v>-82.03267538574913</v>
      </c>
      <c r="AF244" t="str">
        <f t="shared" si="211"/>
        <v>171,265703090588</v>
      </c>
      <c r="AG244" t="str">
        <f t="shared" si="212"/>
        <v>1+50,5496461292371i</v>
      </c>
      <c r="AH244">
        <f t="shared" si="230"/>
        <v>50.559536427770922</v>
      </c>
      <c r="AI244">
        <f t="shared" si="231"/>
        <v>1.5510163746555736</v>
      </c>
      <c r="AJ244" t="str">
        <f t="shared" si="213"/>
        <v>1+0,172874787597998i</v>
      </c>
      <c r="AK244">
        <f t="shared" si="232"/>
        <v>1.0148328395292758</v>
      </c>
      <c r="AL244">
        <f t="shared" si="233"/>
        <v>0.17118286323174345</v>
      </c>
      <c r="AM244" t="str">
        <f t="shared" si="214"/>
        <v>1-0,0143743397348919i</v>
      </c>
      <c r="AN244">
        <f t="shared" si="234"/>
        <v>1.0001033054853954</v>
      </c>
      <c r="AO244">
        <f t="shared" si="235"/>
        <v>-1.4373349841045635E-2</v>
      </c>
      <c r="AP244" s="41" t="str">
        <f t="shared" si="236"/>
        <v>0,603965280016443-3,38454053572878i</v>
      </c>
      <c r="AQ244">
        <f t="shared" si="237"/>
        <v>10.726133870098719</v>
      </c>
      <c r="AR244" s="43">
        <f t="shared" si="238"/>
        <v>-79.882168918658834</v>
      </c>
      <c r="AS244" t="str">
        <f t="shared" si="215"/>
        <v>-0,0000166666666666667</v>
      </c>
      <c r="AT244" t="str">
        <f t="shared" si="216"/>
        <v>0,0000175275826314637i</v>
      </c>
      <c r="AU244">
        <f t="shared" si="239"/>
        <v>1.7527582631463701E-5</v>
      </c>
      <c r="AV244">
        <f t="shared" si="240"/>
        <v>1.5707963267948966</v>
      </c>
      <c r="AW244" t="str">
        <f t="shared" si="217"/>
        <v>1+0,0812204877588209i</v>
      </c>
      <c r="AX244">
        <f t="shared" si="241"/>
        <v>1.0032929620164694</v>
      </c>
      <c r="AY244">
        <f t="shared" si="242"/>
        <v>8.1042593783329411E-2</v>
      </c>
      <c r="AZ244" t="str">
        <f t="shared" si="218"/>
        <v>1+3,7730608404325i</v>
      </c>
      <c r="BA244">
        <f t="shared" si="243"/>
        <v>3.9033303864271089</v>
      </c>
      <c r="BB244">
        <f t="shared" si="244"/>
        <v>1.3117162042322292</v>
      </c>
      <c r="BC244" s="41" t="str">
        <f t="shared" si="245"/>
        <v>-3,48749912547201+1,23413859904953i</v>
      </c>
      <c r="BD244">
        <f t="shared" si="246"/>
        <v>11.362685462892685</v>
      </c>
      <c r="BE244" s="43">
        <f t="shared" si="247"/>
        <v>160.51240383684916</v>
      </c>
      <c r="BF244" s="41" t="str">
        <f t="shared" si="248"/>
        <v>0,803251175977416+3,9409680936112i</v>
      </c>
      <c r="BG244" s="20">
        <f t="shared" si="249"/>
        <v>12.088830040370265</v>
      </c>
      <c r="BH244" s="43">
        <f t="shared" si="250"/>
        <v>78.479728451100016</v>
      </c>
      <c r="BI244" s="41" t="str">
        <f t="shared" si="255"/>
        <v>2,07066372931786+12,5489590230327i</v>
      </c>
      <c r="BJ244" s="20">
        <f t="shared" si="251"/>
        <v>22.088819332991378</v>
      </c>
      <c r="BK244" s="43">
        <f t="shared" si="256"/>
        <v>80.630234918190297</v>
      </c>
      <c r="BL244">
        <f t="shared" si="252"/>
        <v>12.088830040370265</v>
      </c>
      <c r="BM244" s="43">
        <f t="shared" si="253"/>
        <v>78.479728451100016</v>
      </c>
    </row>
    <row r="245" spans="14:65" x14ac:dyDescent="0.25">
      <c r="N245" s="9">
        <v>27</v>
      </c>
      <c r="O245" s="34">
        <f t="shared" si="254"/>
        <v>1862.0871366628687</v>
      </c>
      <c r="P245" s="33" t="str">
        <f t="shared" si="206"/>
        <v>54,631621870174</v>
      </c>
      <c r="Q245" s="4" t="str">
        <f t="shared" si="207"/>
        <v>1+52,2269110961611i</v>
      </c>
      <c r="R245" s="4">
        <f t="shared" si="219"/>
        <v>52.236483827362619</v>
      </c>
      <c r="S245" s="4">
        <f t="shared" si="220"/>
        <v>1.5516514491718043</v>
      </c>
      <c r="T245" s="4" t="str">
        <f t="shared" si="208"/>
        <v>1+0,176901558691055i</v>
      </c>
      <c r="U245" s="4">
        <f t="shared" si="221"/>
        <v>1.0155265439501444</v>
      </c>
      <c r="V245" s="4">
        <f t="shared" si="222"/>
        <v>0.17509012272874966</v>
      </c>
      <c r="W245" t="str">
        <f t="shared" si="209"/>
        <v>1-0,0465576219498792i</v>
      </c>
      <c r="X245" s="4">
        <f t="shared" si="223"/>
        <v>1.0010832193986812</v>
      </c>
      <c r="Y245" s="4">
        <f t="shared" si="224"/>
        <v>-4.6524026010328984E-2</v>
      </c>
      <c r="Z245" t="str">
        <f t="shared" si="210"/>
        <v>0,999986130525982+0,00639664069588261i</v>
      </c>
      <c r="AA245" s="4">
        <f t="shared" si="225"/>
        <v>1.000006589106551</v>
      </c>
      <c r="AB245" s="4">
        <f t="shared" si="226"/>
        <v>6.396642169858348E-3</v>
      </c>
      <c r="AC245" s="47" t="str">
        <f t="shared" si="227"/>
        <v>0,149750591526983-1,05263516307312i</v>
      </c>
      <c r="AD245" s="20">
        <f t="shared" si="228"/>
        <v>0.53257515062367178</v>
      </c>
      <c r="AE245" s="43">
        <f t="shared" si="229"/>
        <v>-81.903285181854386</v>
      </c>
      <c r="AF245" t="str">
        <f t="shared" si="211"/>
        <v>171,265703090588</v>
      </c>
      <c r="AG245" t="str">
        <f t="shared" si="212"/>
        <v>1+51,7270986463203i</v>
      </c>
      <c r="AH245">
        <f t="shared" si="230"/>
        <v>51.736763856721382</v>
      </c>
      <c r="AI245">
        <f t="shared" si="231"/>
        <v>1.551466507884419</v>
      </c>
      <c r="AJ245" t="str">
        <f t="shared" si="213"/>
        <v>1+0,176901558691055i</v>
      </c>
      <c r="AK245">
        <f t="shared" si="232"/>
        <v>1.0155265439501444</v>
      </c>
      <c r="AL245">
        <f t="shared" si="233"/>
        <v>0.17509012272874966</v>
      </c>
      <c r="AM245" t="str">
        <f t="shared" si="214"/>
        <v>1-0,0147091611193776i</v>
      </c>
      <c r="AN245">
        <f t="shared" si="234"/>
        <v>1.000108173859626</v>
      </c>
      <c r="AO245">
        <f t="shared" si="235"/>
        <v>-1.4708100435207348E-2</v>
      </c>
      <c r="AP245" s="41" t="str">
        <f t="shared" si="236"/>
        <v>0,600960437582496-3,3079448313041i</v>
      </c>
      <c r="AQ245">
        <f t="shared" si="237"/>
        <v>10.532187960965897</v>
      </c>
      <c r="AR245" s="43">
        <f t="shared" si="238"/>
        <v>-79.703269970484428</v>
      </c>
      <c r="AS245" t="str">
        <f t="shared" si="215"/>
        <v>-0,0000166666666666667</v>
      </c>
      <c r="AT245" t="str">
        <f t="shared" si="216"/>
        <v>0,0000179358524783987i</v>
      </c>
      <c r="AU245">
        <f t="shared" si="239"/>
        <v>1.79358524783987E-5</v>
      </c>
      <c r="AV245">
        <f t="shared" si="240"/>
        <v>1.5707963267948966</v>
      </c>
      <c r="AW245" t="str">
        <f t="shared" si="217"/>
        <v>1+0,0831123559532261i</v>
      </c>
      <c r="AX245">
        <f t="shared" si="241"/>
        <v>1.0034478878905948</v>
      </c>
      <c r="AY245">
        <f t="shared" si="242"/>
        <v>8.2921774480399335E-2</v>
      </c>
      <c r="AZ245" t="str">
        <f t="shared" si="218"/>
        <v>1+3,86094671746351i</v>
      </c>
      <c r="BA245">
        <f t="shared" si="243"/>
        <v>3.988346719518284</v>
      </c>
      <c r="BB245">
        <f t="shared" si="244"/>
        <v>1.317361584221536</v>
      </c>
      <c r="BC245" s="41" t="str">
        <f t="shared" si="245"/>
        <v>-3,48642231391591+1,21900226952908i</v>
      </c>
      <c r="BD245">
        <f t="shared" si="246"/>
        <v>11.348496181943181</v>
      </c>
      <c r="BE245" s="43">
        <f t="shared" si="247"/>
        <v>160.7281911610994</v>
      </c>
      <c r="BF245" s="41" t="str">
        <f t="shared" si="248"/>
        <v>0,761070848950466+3,85247703188535i</v>
      </c>
      <c r="BG245" s="20">
        <f t="shared" si="249"/>
        <v>11.881071332566847</v>
      </c>
      <c r="BH245" s="43">
        <f t="shared" si="250"/>
        <v>78.824905979245017</v>
      </c>
      <c r="BI245" s="41" t="str">
        <f t="shared" si="255"/>
        <v>1,93719037746841+12,2654648103717i</v>
      </c>
      <c r="BJ245" s="20">
        <f t="shared" si="251"/>
        <v>21.880684142909104</v>
      </c>
      <c r="BK245" s="43">
        <f t="shared" si="256"/>
        <v>81.02492119061499</v>
      </c>
      <c r="BL245">
        <f t="shared" si="252"/>
        <v>11.881071332566847</v>
      </c>
      <c r="BM245" s="43">
        <f t="shared" si="253"/>
        <v>78.824905979245017</v>
      </c>
    </row>
    <row r="246" spans="14:65" x14ac:dyDescent="0.25">
      <c r="N246" s="9">
        <v>28</v>
      </c>
      <c r="O246" s="34">
        <f t="shared" si="254"/>
        <v>1905.4607179632501</v>
      </c>
      <c r="P246" s="33" t="str">
        <f t="shared" si="206"/>
        <v>54,631621870174</v>
      </c>
      <c r="Q246" s="4" t="str">
        <f t="shared" si="207"/>
        <v>1+53,443432133172i</v>
      </c>
      <c r="R246" s="4">
        <f t="shared" si="219"/>
        <v>53.452787000987712</v>
      </c>
      <c r="S246" s="4">
        <f t="shared" si="220"/>
        <v>1.5520871369199456</v>
      </c>
      <c r="T246" s="4" t="str">
        <f t="shared" si="208"/>
        <v>1+0,181022125332101i</v>
      </c>
      <c r="U246" s="4">
        <f t="shared" si="221"/>
        <v>1.0162524341224235</v>
      </c>
      <c r="V246" s="4">
        <f t="shared" si="222"/>
        <v>0.17908280928819936</v>
      </c>
      <c r="W246" t="str">
        <f t="shared" si="209"/>
        <v>1-0,0476420882785683i</v>
      </c>
      <c r="X246" s="4">
        <f t="shared" si="223"/>
        <v>1.001134241036407</v>
      </c>
      <c r="Y246" s="4">
        <f t="shared" si="224"/>
        <v>-4.7606091783145732E-2</v>
      </c>
      <c r="Z246" t="str">
        <f t="shared" si="210"/>
        <v>0,999985476877809+0,00654563759823462i</v>
      </c>
      <c r="AA246" s="4">
        <f t="shared" si="225"/>
        <v>1.0000068996452509</v>
      </c>
      <c r="AB246" s="4">
        <f t="shared" si="226"/>
        <v>6.5456391776150639E-3</v>
      </c>
      <c r="AC246" s="47" t="str">
        <f t="shared" si="227"/>
        <v>0,148849165574915-1,02912675586588i</v>
      </c>
      <c r="AD246" s="20">
        <f t="shared" si="228"/>
        <v>0.33929315153974704</v>
      </c>
      <c r="AE246" s="43">
        <f t="shared" si="229"/>
        <v>-81.770018863875904</v>
      </c>
      <c r="AF246" t="str">
        <f t="shared" si="211"/>
        <v>171,265703090588</v>
      </c>
      <c r="AG246" t="str">
        <f t="shared" si="212"/>
        <v>1+52,9319775557952i</v>
      </c>
      <c r="AH246">
        <f t="shared" si="230"/>
        <v>52.941422798855783</v>
      </c>
      <c r="AI246">
        <f t="shared" si="231"/>
        <v>1.5519064024002294</v>
      </c>
      <c r="AJ246" t="str">
        <f t="shared" si="213"/>
        <v>1+0,181022125332101i</v>
      </c>
      <c r="AK246">
        <f t="shared" si="232"/>
        <v>1.0162524341224235</v>
      </c>
      <c r="AL246">
        <f t="shared" si="233"/>
        <v>0.17908280928819936</v>
      </c>
      <c r="AM246" t="str">
        <f t="shared" si="214"/>
        <v>1-0,0150517814957878i</v>
      </c>
      <c r="AN246">
        <f t="shared" si="234"/>
        <v>1.0001132716478653</v>
      </c>
      <c r="AO246">
        <f t="shared" si="235"/>
        <v>-1.5050644959174717E-2</v>
      </c>
      <c r="AP246" s="41" t="str">
        <f t="shared" si="236"/>
        <v>0,598090736558046-3,23309781450673i</v>
      </c>
      <c r="AQ246">
        <f t="shared" si="237"/>
        <v>10.338511646108874</v>
      </c>
      <c r="AR246" s="43">
        <f t="shared" si="238"/>
        <v>-79.519336336414881</v>
      </c>
      <c r="AS246" t="str">
        <f t="shared" si="215"/>
        <v>-0,0000166666666666667</v>
      </c>
      <c r="AT246" t="str">
        <f t="shared" si="216"/>
        <v>0,0000183536321517268i</v>
      </c>
      <c r="AU246">
        <f t="shared" si="239"/>
        <v>1.83536321517268E-5</v>
      </c>
      <c r="AV246">
        <f t="shared" si="240"/>
        <v>1.5707963267948966</v>
      </c>
      <c r="AW246" t="str">
        <f t="shared" si="217"/>
        <v>1+0,0850482914188806i</v>
      </c>
      <c r="AX246">
        <f t="shared" si="241"/>
        <v>1.0036100895633078</v>
      </c>
      <c r="AY246">
        <f t="shared" si="242"/>
        <v>8.4844119343914448E-2</v>
      </c>
      <c r="AZ246" t="str">
        <f t="shared" si="218"/>
        <v>1+3,95087971954982i</v>
      </c>
      <c r="BA246">
        <f t="shared" si="243"/>
        <v>4.0754693666312916</v>
      </c>
      <c r="BB246">
        <f t="shared" si="244"/>
        <v>1.3228944580649042</v>
      </c>
      <c r="BC246" s="41" t="str">
        <f t="shared" si="245"/>
        <v>-3,48529546627032+1,20450389384019i</v>
      </c>
      <c r="BD246">
        <f t="shared" si="246"/>
        <v>11.334786815199694</v>
      </c>
      <c r="BE246" s="43">
        <f t="shared" si="247"/>
        <v>160.93505923345475</v>
      </c>
      <c r="BF246" s="41" t="str">
        <f t="shared" si="248"/>
        <v>0,720803862759204+3,76610021596668i</v>
      </c>
      <c r="BG246" s="20">
        <f t="shared" si="249"/>
        <v>11.674079966739432</v>
      </c>
      <c r="BH246" s="43">
        <f t="shared" si="250"/>
        <v>79.165040369578847</v>
      </c>
      <c r="BI246" s="41" t="str">
        <f t="shared" si="255"/>
        <v>1,80975597419553+11,9887037759627i</v>
      </c>
      <c r="BJ246" s="20">
        <f t="shared" si="251"/>
        <v>21.673298461308566</v>
      </c>
      <c r="BK246" s="43">
        <f t="shared" si="256"/>
        <v>81.415722897039885</v>
      </c>
      <c r="BL246">
        <f t="shared" si="252"/>
        <v>11.674079966739432</v>
      </c>
      <c r="BM246" s="43">
        <f t="shared" si="253"/>
        <v>79.165040369578847</v>
      </c>
    </row>
    <row r="247" spans="14:65" x14ac:dyDescent="0.25">
      <c r="N247" s="9">
        <v>29</v>
      </c>
      <c r="O247" s="34">
        <f t="shared" si="254"/>
        <v>1949.8445997580463</v>
      </c>
      <c r="P247" s="33" t="str">
        <f t="shared" si="206"/>
        <v>54,631621870174</v>
      </c>
      <c r="Q247" s="4" t="str">
        <f t="shared" si="207"/>
        <v>1+54,6882895853067i</v>
      </c>
      <c r="R247" s="4">
        <f t="shared" si="219"/>
        <v>54.697431546338308</v>
      </c>
      <c r="S247" s="4">
        <f t="shared" si="220"/>
        <v>1.5525129140684844</v>
      </c>
      <c r="T247" s="4" t="str">
        <f t="shared" si="208"/>
        <v>1+0,185238672300106i</v>
      </c>
      <c r="U247" s="4">
        <f t="shared" si="221"/>
        <v>1.0170119791406127</v>
      </c>
      <c r="V247" s="4">
        <f t="shared" si="222"/>
        <v>0.18316253043666722</v>
      </c>
      <c r="W247" t="str">
        <f t="shared" si="209"/>
        <v>1-0,0487518150730798i</v>
      </c>
      <c r="X247" s="4">
        <f t="shared" si="223"/>
        <v>1.0011876644630215</v>
      </c>
      <c r="Y247" s="4">
        <f t="shared" si="224"/>
        <v>-4.8713246604059741E-2</v>
      </c>
      <c r="Z247" t="str">
        <f t="shared" si="210"/>
        <v>0,999984792424147+0,00669810508428287i</v>
      </c>
      <c r="AA247" s="4">
        <f t="shared" si="225"/>
        <v>1.0000072248195433</v>
      </c>
      <c r="AB247" s="4">
        <f t="shared" si="226"/>
        <v>6.6981067766049025E-3</v>
      </c>
      <c r="AC247" s="47" t="str">
        <f t="shared" si="227"/>
        <v>0,147988027861063-1,00616249066826i</v>
      </c>
      <c r="AD247" s="20">
        <f t="shared" si="228"/>
        <v>0.14631162244565341</v>
      </c>
      <c r="AE247" s="43">
        <f t="shared" si="229"/>
        <v>-81.632834342543305</v>
      </c>
      <c r="AF247" t="str">
        <f t="shared" si="211"/>
        <v>171,265703090588</v>
      </c>
      <c r="AG247" t="str">
        <f t="shared" si="212"/>
        <v>1+54,1649217004071i</v>
      </c>
      <c r="AH247">
        <f t="shared" si="230"/>
        <v>54.17415198054541</v>
      </c>
      <c r="AI247">
        <f t="shared" si="231"/>
        <v>1.5523362907595264</v>
      </c>
      <c r="AJ247" t="str">
        <f t="shared" si="213"/>
        <v>1+0,185238672300106i</v>
      </c>
      <c r="AK247">
        <f t="shared" si="232"/>
        <v>1.0170119791406127</v>
      </c>
      <c r="AL247">
        <f t="shared" si="233"/>
        <v>0.18316253043666722</v>
      </c>
      <c r="AM247" t="str">
        <f t="shared" si="214"/>
        <v>1-0,0154023825259807i</v>
      </c>
      <c r="AN247">
        <f t="shared" si="234"/>
        <v>1.0001186096596126</v>
      </c>
      <c r="AO247">
        <f t="shared" si="235"/>
        <v>-1.5401164712858942E-2</v>
      </c>
      <c r="AP247" s="41" t="str">
        <f t="shared" si="236"/>
        <v>0,595350103264561-3,15996014919182i</v>
      </c>
      <c r="AQ247">
        <f t="shared" si="237"/>
        <v>10.145117137513624</v>
      </c>
      <c r="AR247" s="43">
        <f t="shared" si="238"/>
        <v>-79.33029962418901</v>
      </c>
      <c r="AS247" t="str">
        <f t="shared" si="215"/>
        <v>-0,0000166666666666667</v>
      </c>
      <c r="AT247" t="str">
        <f t="shared" si="216"/>
        <v>0,0000187811431637608i</v>
      </c>
      <c r="AU247">
        <f t="shared" si="239"/>
        <v>1.87811431637608E-5</v>
      </c>
      <c r="AV247">
        <f t="shared" si="240"/>
        <v>1.5707963267948966</v>
      </c>
      <c r="AW247" t="str">
        <f t="shared" si="217"/>
        <v>1+0,0870293206143914i</v>
      </c>
      <c r="AX247">
        <f t="shared" si="241"/>
        <v>1.0037799074730489</v>
      </c>
      <c r="AY247">
        <f t="shared" si="242"/>
        <v>8.6810590764150194E-2</v>
      </c>
      <c r="AZ247" t="str">
        <f t="shared" si="218"/>
        <v>1+4,04290753035946i</v>
      </c>
      <c r="BA247">
        <f t="shared" si="243"/>
        <v>4.1647450461027304</v>
      </c>
      <c r="BB247">
        <f t="shared" si="244"/>
        <v>1.3283164037850375</v>
      </c>
      <c r="BC247" s="41" t="str">
        <f t="shared" si="245"/>
        <v>-3,48411629238754+1,19063519432003i</v>
      </c>
      <c r="BD247">
        <f t="shared" si="246"/>
        <v>11.321532969262638</v>
      </c>
      <c r="BE247" s="43">
        <f t="shared" si="247"/>
        <v>161.13304332705485</v>
      </c>
      <c r="BF247" s="41" t="str">
        <f t="shared" si="248"/>
        <v>0,682364973645298+3,68178688083591i</v>
      </c>
      <c r="BG247" s="20">
        <f t="shared" si="249"/>
        <v>11.4678445917083</v>
      </c>
      <c r="BH247" s="43">
        <f t="shared" si="250"/>
        <v>79.500208984511573</v>
      </c>
      <c r="BI247" s="41" t="str">
        <f t="shared" si="255"/>
        <v>1,68809077181789+11,7185134249834i</v>
      </c>
      <c r="BJ247" s="20">
        <f t="shared" si="251"/>
        <v>21.466650106776235</v>
      </c>
      <c r="BK247" s="43">
        <f t="shared" si="256"/>
        <v>81.80274370286584</v>
      </c>
      <c r="BL247">
        <f t="shared" si="252"/>
        <v>11.4678445917083</v>
      </c>
      <c r="BM247" s="43">
        <f t="shared" si="253"/>
        <v>79.500208984511573</v>
      </c>
    </row>
    <row r="248" spans="14:65" x14ac:dyDescent="0.25">
      <c r="N248" s="9">
        <v>30</v>
      </c>
      <c r="O248" s="34">
        <f t="shared" si="254"/>
        <v>1995.2623149688804</v>
      </c>
      <c r="P248" s="33" t="str">
        <f t="shared" si="206"/>
        <v>54,631621870174</v>
      </c>
      <c r="Q248" s="4" t="str">
        <f t="shared" si="207"/>
        <v>1+55,9621434924649i</v>
      </c>
      <c r="R248" s="4">
        <f t="shared" si="219"/>
        <v>55.971077390659822</v>
      </c>
      <c r="S248" s="4">
        <f t="shared" si="220"/>
        <v>1.5529290057522462</v>
      </c>
      <c r="T248" s="4" t="str">
        <f t="shared" si="208"/>
        <v>1+0,18955343526409i</v>
      </c>
      <c r="U248" s="4">
        <f t="shared" si="221"/>
        <v>1.0178067128980912</v>
      </c>
      <c r="V248" s="4">
        <f t="shared" si="222"/>
        <v>0.1873309058023746</v>
      </c>
      <c r="W248" t="str">
        <f t="shared" si="209"/>
        <v>1-0,0498873907252498i</v>
      </c>
      <c r="X248" s="4">
        <f t="shared" si="223"/>
        <v>1.0012436026029699</v>
      </c>
      <c r="Y248" s="4">
        <f t="shared" si="224"/>
        <v>-4.9846066637911433E-2</v>
      </c>
      <c r="Z248" t="str">
        <f t="shared" si="210"/>
        <v>0,999984075713178+0,00685412399430676i</v>
      </c>
      <c r="AA248" s="4">
        <f t="shared" si="225"/>
        <v>1.0000075653192173</v>
      </c>
      <c r="AB248" s="4">
        <f t="shared" si="226"/>
        <v>6.8541258076461001E-3</v>
      </c>
      <c r="AC248" s="47" t="str">
        <f t="shared" si="227"/>
        <v>0,147165355535595-0,98373029239672i</v>
      </c>
      <c r="AD248" s="20">
        <f t="shared" si="228"/>
        <v>-4.6355868458426631E-2</v>
      </c>
      <c r="AE248" s="43">
        <f t="shared" si="229"/>
        <v>-81.491689362922017</v>
      </c>
      <c r="AF248" t="str">
        <f t="shared" si="211"/>
        <v>171,265703090588</v>
      </c>
      <c r="AG248" t="str">
        <f t="shared" si="212"/>
        <v>1+55,4265848034624i</v>
      </c>
      <c r="AH248">
        <f t="shared" si="230"/>
        <v>55.43560501135898</v>
      </c>
      <c r="AI248">
        <f t="shared" si="231"/>
        <v>1.5527564002588836</v>
      </c>
      <c r="AJ248" t="str">
        <f t="shared" si="213"/>
        <v>1+0,18955343526409i</v>
      </c>
      <c r="AK248">
        <f t="shared" si="232"/>
        <v>1.0178067128980912</v>
      </c>
      <c r="AL248">
        <f t="shared" si="233"/>
        <v>0.1873309058023746</v>
      </c>
      <c r="AM248" t="str">
        <f t="shared" si="214"/>
        <v>1-0,0157611501032636i</v>
      </c>
      <c r="AN248">
        <f t="shared" si="234"/>
        <v>1.0001241992135665</v>
      </c>
      <c r="AO248">
        <f t="shared" si="235"/>
        <v>-1.5759845201745379E-2</v>
      </c>
      <c r="AP248" s="41" t="str">
        <f t="shared" si="236"/>
        <v>0,592732736620317-3,08849338228543i</v>
      </c>
      <c r="AQ248">
        <f t="shared" si="237"/>
        <v>9.9520171341519106</v>
      </c>
      <c r="AR248" s="43">
        <f t="shared" si="238"/>
        <v>-79.136090687761097</v>
      </c>
      <c r="AS248" t="str">
        <f t="shared" si="215"/>
        <v>-0,0000166666666666667</v>
      </c>
      <c r="AT248" t="str">
        <f t="shared" si="216"/>
        <v>0,000019218612186498i</v>
      </c>
      <c r="AU248">
        <f t="shared" si="239"/>
        <v>1.9218612186497999E-5</v>
      </c>
      <c r="AV248">
        <f t="shared" si="240"/>
        <v>1.5707963267948966</v>
      </c>
      <c r="AW248" t="str">
        <f t="shared" si="217"/>
        <v>1+0,0890564939076618i</v>
      </c>
      <c r="AX248">
        <f t="shared" si="241"/>
        <v>1.0039576978673581</v>
      </c>
      <c r="AY248">
        <f t="shared" si="242"/>
        <v>8.882217052159741E-2</v>
      </c>
      <c r="AZ248" t="str">
        <f t="shared" si="218"/>
        <v>1+4,13707894425593i</v>
      </c>
      <c r="BA248">
        <f t="shared" si="243"/>
        <v>4.2562215862200787</v>
      </c>
      <c r="BB248">
        <f t="shared" si="244"/>
        <v>1.3336290204913419</v>
      </c>
      <c r="BC248" s="41" t="str">
        <f t="shared" si="245"/>
        <v>-3,48288240063617+1,17738818599061i</v>
      </c>
      <c r="BD248">
        <f t="shared" si="246"/>
        <v>11.308710847264836</v>
      </c>
      <c r="BE248" s="43">
        <f t="shared" si="247"/>
        <v>161.32217881224096</v>
      </c>
      <c r="BF248" s="41" t="str">
        <f t="shared" si="248"/>
        <v>0,645672797690698+3,59948767335593i</v>
      </c>
      <c r="BG248" s="20">
        <f t="shared" si="249"/>
        <v>11.262354978806414</v>
      </c>
      <c r="BH248" s="43">
        <f t="shared" si="250"/>
        <v>79.830489449318961</v>
      </c>
      <c r="BI248" s="41" t="str">
        <f t="shared" si="255"/>
        <v>1,57193720415723+11,4547357671898i</v>
      </c>
      <c r="BJ248" s="20">
        <f t="shared" si="251"/>
        <v>21.260727981416711</v>
      </c>
      <c r="BK248" s="43">
        <f t="shared" si="256"/>
        <v>82.186088124479852</v>
      </c>
      <c r="BL248">
        <f t="shared" si="252"/>
        <v>11.262354978806414</v>
      </c>
      <c r="BM248" s="43">
        <f t="shared" si="253"/>
        <v>79.830489449318961</v>
      </c>
    </row>
    <row r="249" spans="14:65" x14ac:dyDescent="0.25">
      <c r="N249" s="9">
        <v>31</v>
      </c>
      <c r="O249" s="34">
        <f t="shared" si="254"/>
        <v>2041.7379446695318</v>
      </c>
      <c r="P249" s="33" t="str">
        <f t="shared" si="206"/>
        <v>54,631621870174</v>
      </c>
      <c r="Q249" s="4" t="str">
        <f t="shared" si="207"/>
        <v>1+57,2656692688492i</v>
      </c>
      <c r="R249" s="4">
        <f t="shared" si="219"/>
        <v>57.274399838053469</v>
      </c>
      <c r="S249" s="4">
        <f t="shared" si="220"/>
        <v>1.5533356320119076</v>
      </c>
      <c r="T249" s="4" t="str">
        <f t="shared" si="208"/>
        <v>1+0,193968701968486i</v>
      </c>
      <c r="U249" s="4">
        <f t="shared" si="221"/>
        <v>1.0186382367373312</v>
      </c>
      <c r="V249" s="4">
        <f t="shared" si="222"/>
        <v>0.19158956581466316</v>
      </c>
      <c r="W249" t="str">
        <f t="shared" si="209"/>
        <v>1-0,0510494173323199i</v>
      </c>
      <c r="X249" s="4">
        <f t="shared" si="223"/>
        <v>1.0013021736768424</v>
      </c>
      <c r="Y249" s="4">
        <f t="shared" si="224"/>
        <v>-5.100514088445695E-2</v>
      </c>
      <c r="Z249" t="str">
        <f t="shared" si="210"/>
        <v>0,999983325224661+0,00701377705159746i</v>
      </c>
      <c r="AA249" s="4">
        <f t="shared" si="225"/>
        <v>1.0000079218665718</v>
      </c>
      <c r="AB249" s="4">
        <f t="shared" si="226"/>
        <v>7.0137789946071866E-3</v>
      </c>
      <c r="AC249" s="47" t="str">
        <f t="shared" si="227"/>
        <v>0,146379407010266-0,961818361340049i</v>
      </c>
      <c r="AD249" s="20">
        <f t="shared" si="228"/>
        <v>-0.23869520823245341</v>
      </c>
      <c r="AE249" s="43">
        <f t="shared" si="229"/>
        <v>-81.346541602622551</v>
      </c>
      <c r="AF249" t="str">
        <f t="shared" si="211"/>
        <v>171,265703090588</v>
      </c>
      <c r="AG249" t="str">
        <f t="shared" si="212"/>
        <v>1+56,7176358154379i</v>
      </c>
      <c r="AH249">
        <f t="shared" si="230"/>
        <v>56.726450730612818</v>
      </c>
      <c r="AI249">
        <f t="shared" si="231"/>
        <v>1.5531669530524106</v>
      </c>
      <c r="AJ249" t="str">
        <f t="shared" si="213"/>
        <v>1+0,193968701968486i</v>
      </c>
      <c r="AK249">
        <f t="shared" si="232"/>
        <v>1.0186382367373312</v>
      </c>
      <c r="AL249">
        <f t="shared" si="233"/>
        <v>0.19158956581466316</v>
      </c>
      <c r="AM249" t="str">
        <f t="shared" si="214"/>
        <v>1-0,0161282744509546i</v>
      </c>
      <c r="AN249">
        <f t="shared" si="234"/>
        <v>1.0001300521616003</v>
      </c>
      <c r="AO249">
        <f t="shared" si="235"/>
        <v>-1.6126876233606039E-2</v>
      </c>
      <c r="AP249" s="41" t="str">
        <f t="shared" si="236"/>
        <v>0,590233095938639-3,01865992494535i</v>
      </c>
      <c r="AQ249">
        <f t="shared" si="237"/>
        <v>9.7592248389541361</v>
      </c>
      <c r="AR249" s="43">
        <f t="shared" si="238"/>
        <v>-78.936639714088116</v>
      </c>
      <c r="AS249" t="str">
        <f t="shared" si="215"/>
        <v>-0,0000166666666666667</v>
      </c>
      <c r="AT249" t="str">
        <f t="shared" si="216"/>
        <v>0,0000196662711718049i</v>
      </c>
      <c r="AU249">
        <f t="shared" si="239"/>
        <v>1.9666271171804901E-5</v>
      </c>
      <c r="AV249">
        <f t="shared" si="240"/>
        <v>1.5707963267948966</v>
      </c>
      <c r="AW249" t="str">
        <f t="shared" si="217"/>
        <v>1+0,0911308861328037i</v>
      </c>
      <c r="AX249">
        <f t="shared" si="241"/>
        <v>1.0041438335255313</v>
      </c>
      <c r="AY249">
        <f t="shared" si="242"/>
        <v>9.0879860028271628E-2</v>
      </c>
      <c r="AZ249" t="str">
        <f t="shared" si="218"/>
        <v>1+4,23344389216934i</v>
      </c>
      <c r="BA249">
        <f t="shared" si="243"/>
        <v>4.3499479523490727</v>
      </c>
      <c r="BB249">
        <f t="shared" si="244"/>
        <v>1.3388339249418422</v>
      </c>
      <c r="BC249" s="41" t="str">
        <f t="shared" si="245"/>
        <v>-3,48159129372396+1,1647551695058i</v>
      </c>
      <c r="BD249">
        <f t="shared" si="246"/>
        <v>11.296297228270813</v>
      </c>
      <c r="BE249" s="43">
        <f t="shared" si="247"/>
        <v>161.5025009457427</v>
      </c>
      <c r="BF249" s="41" t="str">
        <f t="shared" si="248"/>
        <v>0,610649639469002+3,51915460400976i</v>
      </c>
      <c r="BG249" s="20">
        <f t="shared" si="249"/>
        <v>11.057602020038356</v>
      </c>
      <c r="BH249" s="43">
        <f t="shared" si="250"/>
        <v>80.155959343120145</v>
      </c>
      <c r="BI249" s="41" t="str">
        <f t="shared" si="255"/>
        <v>1,46104934447238+11,1972171631111i</v>
      </c>
      <c r="BJ249" s="20">
        <f t="shared" si="251"/>
        <v>21.055522067224949</v>
      </c>
      <c r="BK249" s="43">
        <f t="shared" si="256"/>
        <v>82.565861231654608</v>
      </c>
      <c r="BL249">
        <f t="shared" si="252"/>
        <v>11.057602020038356</v>
      </c>
      <c r="BM249" s="43">
        <f t="shared" si="253"/>
        <v>80.155959343120145</v>
      </c>
    </row>
    <row r="250" spans="14:65" x14ac:dyDescent="0.25">
      <c r="N250" s="9">
        <v>32</v>
      </c>
      <c r="O250" s="34">
        <f t="shared" si="254"/>
        <v>2089.2961308540398</v>
      </c>
      <c r="P250" s="33" t="str">
        <f t="shared" si="206"/>
        <v>54,631621870174</v>
      </c>
      <c r="Q250" s="4" t="str">
        <f t="shared" si="207"/>
        <v>1+58,5995580610811i</v>
      </c>
      <c r="R250" s="4">
        <f t="shared" si="219"/>
        <v>58.608089927534877</v>
      </c>
      <c r="S250" s="4">
        <f t="shared" si="220"/>
        <v>1.553733007907917</v>
      </c>
      <c r="T250" s="4" t="str">
        <f t="shared" si="208"/>
        <v>1+0,198486813446147i</v>
      </c>
      <c r="U250" s="4">
        <f t="shared" si="221"/>
        <v>1.0195082221895053</v>
      </c>
      <c r="V250" s="4">
        <f t="shared" si="222"/>
        <v>0.19594015028577474</v>
      </c>
      <c r="W250" t="str">
        <f t="shared" si="209"/>
        <v>1-0,0522385110161789i</v>
      </c>
      <c r="X250" s="4">
        <f t="shared" si="223"/>
        <v>1.0013635014484936</v>
      </c>
      <c r="Y250" s="4">
        <f t="shared" si="224"/>
        <v>-5.2191071435836255E-2</v>
      </c>
      <c r="Z250" t="str">
        <f t="shared" si="210"/>
        <v>0,99998253936671+0,00717714890631929i</v>
      </c>
      <c r="AA250" s="4">
        <f t="shared" si="225"/>
        <v>1.0000082952179534</v>
      </c>
      <c r="AB250" s="4">
        <f t="shared" si="226"/>
        <v>7.1771509882710945E-3</v>
      </c>
      <c r="AC250" s="47" t="str">
        <f t="shared" si="227"/>
        <v>0,145628518293166-0,940415167351018i</v>
      </c>
      <c r="AD250" s="20">
        <f t="shared" si="228"/>
        <v>-0.43069172014791146</v>
      </c>
      <c r="AE250" s="43">
        <f t="shared" si="229"/>
        <v>-81.197348776851541</v>
      </c>
      <c r="AF250" t="str">
        <f t="shared" si="211"/>
        <v>171,265703090588</v>
      </c>
      <c r="AG250" t="str">
        <f t="shared" si="212"/>
        <v>1+58,0387592686698i</v>
      </c>
      <c r="AH250">
        <f t="shared" si="230"/>
        <v>58.047373562001972</v>
      </c>
      <c r="AI250">
        <f t="shared" si="231"/>
        <v>1.5535681662667138</v>
      </c>
      <c r="AJ250" t="str">
        <f t="shared" si="213"/>
        <v>1+0,198486813446147i</v>
      </c>
      <c r="AK250">
        <f t="shared" si="232"/>
        <v>1.0195082221895053</v>
      </c>
      <c r="AL250">
        <f t="shared" si="233"/>
        <v>0.19594015028577474</v>
      </c>
      <c r="AM250" t="str">
        <f t="shared" si="214"/>
        <v>1-0,0165039502232427i</v>
      </c>
      <c r="AN250">
        <f t="shared" si="234"/>
        <v>1.0001361809138649</v>
      </c>
      <c r="AO250">
        <f t="shared" si="235"/>
        <v>-1.6502452017378433E-2</v>
      </c>
      <c r="AP250" s="41" t="str">
        <f t="shared" si="236"/>
        <v>0,587845889269433-2,95042303407673i</v>
      </c>
      <c r="AQ250">
        <f t="shared" si="237"/>
        <v>9.5667539759902294</v>
      </c>
      <c r="AR250" s="43">
        <f t="shared" si="238"/>
        <v>-78.731876316640239</v>
      </c>
      <c r="AS250" t="str">
        <f t="shared" si="215"/>
        <v>-0,0000166666666666667</v>
      </c>
      <c r="AT250" t="str">
        <f t="shared" si="216"/>
        <v>0,000020124357474401i</v>
      </c>
      <c r="AU250">
        <f t="shared" si="239"/>
        <v>2.0124357474401001E-5</v>
      </c>
      <c r="AV250">
        <f t="shared" si="240"/>
        <v>1.5707963267948966</v>
      </c>
      <c r="AW250" t="str">
        <f t="shared" si="217"/>
        <v>1+0,093253597160034i</v>
      </c>
      <c r="AX250">
        <f t="shared" si="241"/>
        <v>1.0043387045132164</v>
      </c>
      <c r="AY250">
        <f t="shared" si="242"/>
        <v>9.2984680560345243E-2</v>
      </c>
      <c r="AZ250" t="str">
        <f t="shared" si="218"/>
        <v>1+4,33205346807067i</v>
      </c>
      <c r="BA250">
        <f t="shared" si="243"/>
        <v>4.4459742745795463</v>
      </c>
      <c r="BB250">
        <f t="shared" si="244"/>
        <v>1.3439327483008348</v>
      </c>
      <c r="BC250" s="41" t="str">
        <f t="shared" si="245"/>
        <v>-3,48024036438021+1,15272872406326i</v>
      </c>
      <c r="BD250">
        <f t="shared" si="246"/>
        <v>11.284269445812495</v>
      </c>
      <c r="BE250" s="43">
        <f t="shared" si="247"/>
        <v>161.67404467157553</v>
      </c>
      <c r="BF250" s="41" t="str">
        <f t="shared" si="248"/>
        <v>0,577221328381518+3,44074100076969i</v>
      </c>
      <c r="BG250" s="20">
        <f t="shared" si="249"/>
        <v>10.853577725664591</v>
      </c>
      <c r="BH250" s="43">
        <f t="shared" si="250"/>
        <v>80.476695894723989</v>
      </c>
      <c r="BI250" s="41" t="str">
        <f t="shared" si="255"/>
        <v>1,35519238764766+10,9458081770743i</v>
      </c>
      <c r="BJ250" s="20">
        <f t="shared" si="251"/>
        <v>20.851023421802687</v>
      </c>
      <c r="BK250" s="43">
        <f t="shared" si="256"/>
        <v>82.942168354935276</v>
      </c>
      <c r="BL250">
        <f t="shared" si="252"/>
        <v>10.853577725664591</v>
      </c>
      <c r="BM250" s="43">
        <f t="shared" si="253"/>
        <v>80.476695894723989</v>
      </c>
    </row>
    <row r="251" spans="14:65" x14ac:dyDescent="0.25">
      <c r="N251" s="9">
        <v>33</v>
      </c>
      <c r="O251" s="34">
        <f t="shared" si="254"/>
        <v>2137.9620895022344</v>
      </c>
      <c r="P251" s="33" t="str">
        <f t="shared" si="206"/>
        <v>54,631621870174</v>
      </c>
      <c r="Q251" s="4" t="str">
        <f t="shared" si="207"/>
        <v>1+59,9645171146533i</v>
      </c>
      <c r="R251" s="4">
        <f t="shared" si="219"/>
        <v>59.97285479943028</v>
      </c>
      <c r="S251" s="4">
        <f t="shared" si="220"/>
        <v>1.5541213436319563</v>
      </c>
      <c r="T251" s="4" t="str">
        <f t="shared" si="208"/>
        <v>1+0,203110165259579i</v>
      </c>
      <c r="U251" s="4">
        <f t="shared" si="221"/>
        <v>1.0204184138047361</v>
      </c>
      <c r="V251" s="4">
        <f t="shared" si="222"/>
        <v>0.20038430686864442</v>
      </c>
      <c r="W251" t="str">
        <f t="shared" si="209"/>
        <v>1-0,0534553022500367i</v>
      </c>
      <c r="X251" s="4">
        <f t="shared" si="223"/>
        <v>1.0014277154835705</v>
      </c>
      <c r="Y251" s="4">
        <f t="shared" si="224"/>
        <v>-5.3404473737114114E-2</v>
      </c>
      <c r="Z251" t="str">
        <f t="shared" si="210"/>
        <v>0,999981716472415+0,00734432618039199i</v>
      </c>
      <c r="AA251" s="4">
        <f t="shared" si="225"/>
        <v>1.0000086861653559</v>
      </c>
      <c r="AB251" s="4">
        <f t="shared" si="226"/>
        <v>7.3443284112203961E-3</v>
      </c>
      <c r="AC251" s="47" t="str">
        <f t="shared" si="227"/>
        <v>0,144911099485546-0,919509444151197i</v>
      </c>
      <c r="AD251" s="20">
        <f t="shared" si="228"/>
        <v>-0.62233014437751666</v>
      </c>
      <c r="AE251" s="43">
        <f t="shared" si="229"/>
        <v>-81.04406875065898</v>
      </c>
      <c r="AF251" t="str">
        <f t="shared" si="211"/>
        <v>171,265703090588</v>
      </c>
      <c r="AG251" t="str">
        <f t="shared" si="212"/>
        <v>1+59,3906556402993i</v>
      </c>
      <c r="AH251">
        <f t="shared" si="230"/>
        <v>59.39907387648914</v>
      </c>
      <c r="AI251">
        <f t="shared" si="231"/>
        <v>1.5539602521133808</v>
      </c>
      <c r="AJ251" t="str">
        <f t="shared" si="213"/>
        <v>1+0,203110165259579i</v>
      </c>
      <c r="AK251">
        <f t="shared" si="232"/>
        <v>1.0204184138047361</v>
      </c>
      <c r="AL251">
        <f t="shared" si="233"/>
        <v>0.20038430686864442</v>
      </c>
      <c r="AM251" t="str">
        <f t="shared" si="214"/>
        <v>1-0,0168883766083946i</v>
      </c>
      <c r="AN251">
        <f t="shared" si="234"/>
        <v>1.0001425984650723</v>
      </c>
      <c r="AO251">
        <f t="shared" si="235"/>
        <v>-1.6886771264249586E-2</v>
      </c>
      <c r="AP251" s="41" t="str">
        <f t="shared" si="236"/>
        <v>0,585566062260039-2,88374679420005i</v>
      </c>
      <c r="AQ251">
        <f t="shared" si="237"/>
        <v>9.3746188078270301</v>
      </c>
      <c r="AR251" s="43">
        <f t="shared" si="238"/>
        <v>-78.521729635998739</v>
      </c>
      <c r="AS251" t="str">
        <f t="shared" si="215"/>
        <v>-0,0000166666666666667</v>
      </c>
      <c r="AT251" t="str">
        <f t="shared" si="216"/>
        <v>0,0000205931139777073i</v>
      </c>
      <c r="AU251">
        <f t="shared" si="239"/>
        <v>2.0593113977707298E-5</v>
      </c>
      <c r="AV251">
        <f t="shared" si="240"/>
        <v>1.5707963267948966</v>
      </c>
      <c r="AW251" t="str">
        <f t="shared" si="217"/>
        <v>1+0,0954257524788349i</v>
      </c>
      <c r="AX251">
        <f t="shared" si="241"/>
        <v>1.0045427189702547</v>
      </c>
      <c r="AY251">
        <f t="shared" si="242"/>
        <v>9.5137673480942431E-2</v>
      </c>
      <c r="AZ251" t="str">
        <f t="shared" si="218"/>
        <v>1+4,43295995606224i</v>
      </c>
      <c r="BA251">
        <f t="shared" si="243"/>
        <v>4.5443518759061057</v>
      </c>
      <c r="BB251">
        <f t="shared" si="244"/>
        <v>1.3489271330870045</v>
      </c>
      <c r="BC251" s="41" t="str">
        <f t="shared" si="245"/>
        <v>-3,47882689089557+1,14130170026572i</v>
      </c>
      <c r="BD251">
        <f t="shared" si="246"/>
        <v>11.272605365657553</v>
      </c>
      <c r="BE251" s="43">
        <f t="shared" si="247"/>
        <v>161.83684443341554</v>
      </c>
      <c r="BF251" s="41" t="str">
        <f t="shared" si="248"/>
        <v>0,545317062340588+3,36420146497585i</v>
      </c>
      <c r="BG251" s="20">
        <f t="shared" si="249"/>
        <v>10.650275221280037</v>
      </c>
      <c r="BH251" s="43">
        <f t="shared" si="250"/>
        <v>80.792775682756542</v>
      </c>
      <c r="BI251" s="41" t="str">
        <f t="shared" si="255"/>
        <v>1,25414215557028+10,7003634366723i</v>
      </c>
      <c r="BJ251" s="20">
        <f t="shared" si="251"/>
        <v>20.647224173484577</v>
      </c>
      <c r="BK251" s="43">
        <f t="shared" si="256"/>
        <v>83.315114797416797</v>
      </c>
      <c r="BL251">
        <f t="shared" si="252"/>
        <v>10.650275221280037</v>
      </c>
      <c r="BM251" s="43">
        <f t="shared" si="253"/>
        <v>80.792775682756542</v>
      </c>
    </row>
    <row r="252" spans="14:65" x14ac:dyDescent="0.25">
      <c r="N252" s="9">
        <v>34</v>
      </c>
      <c r="O252" s="34">
        <f t="shared" si="254"/>
        <v>2187.7616239495528</v>
      </c>
      <c r="P252" s="33" t="str">
        <f t="shared" si="206"/>
        <v>54,631621870174</v>
      </c>
      <c r="Q252" s="4" t="str">
        <f t="shared" si="207"/>
        <v>1+61,3612701489241i</v>
      </c>
      <c r="R252" s="4">
        <f t="shared" si="219"/>
        <v>61.369418070316136</v>
      </c>
      <c r="S252" s="4">
        <f t="shared" si="220"/>
        <v>1.5545008446159956</v>
      </c>
      <c r="T252" s="4" t="str">
        <f t="shared" si="208"/>
        <v>1+0,207841208771113i</v>
      </c>
      <c r="U252" s="4">
        <f t="shared" si="221"/>
        <v>1.0213706320740954</v>
      </c>
      <c r="V252" s="4">
        <f t="shared" si="222"/>
        <v>0.2049236893844055</v>
      </c>
      <c r="W252" t="str">
        <f t="shared" si="209"/>
        <v>1-0,0547004361927122i</v>
      </c>
      <c r="X252" s="4">
        <f t="shared" si="223"/>
        <v>1.0014949514199625</v>
      </c>
      <c r="Y252" s="4">
        <f t="shared" si="224"/>
        <v>-5.4645976849770898E-2</v>
      </c>
      <c r="Z252" t="str">
        <f t="shared" si="210"/>
        <v>0,999980854796307+0,0075153975134192i</v>
      </c>
      <c r="AA252" s="4">
        <f t="shared" si="225"/>
        <v>1.0000090955381042</v>
      </c>
      <c r="AB252" s="4">
        <f t="shared" si="226"/>
        <v>7.5153999037689302E-3</v>
      </c>
      <c r="AC252" s="47" t="str">
        <f t="shared" si="227"/>
        <v>0,144225631433462-0,899090183747643i</v>
      </c>
      <c r="AD252" s="20">
        <f t="shared" si="228"/>
        <v>-0.81359461845925685</v>
      </c>
      <c r="AE252" s="43">
        <f t="shared" si="229"/>
        <v>-80.886659658742531</v>
      </c>
      <c r="AF252" t="str">
        <f t="shared" si="211"/>
        <v>171,265703090588</v>
      </c>
      <c r="AG252" t="str">
        <f t="shared" si="212"/>
        <v>1+60,7740417236778i</v>
      </c>
      <c r="AH252">
        <f t="shared" si="230"/>
        <v>60.782268363654623</v>
      </c>
      <c r="AI252">
        <f t="shared" si="231"/>
        <v>1.5543434179990341</v>
      </c>
      <c r="AJ252" t="str">
        <f t="shared" si="213"/>
        <v>1+0,207841208771113i</v>
      </c>
      <c r="AK252">
        <f t="shared" si="232"/>
        <v>1.0213706320740954</v>
      </c>
      <c r="AL252">
        <f t="shared" si="233"/>
        <v>0.2049236893844055</v>
      </c>
      <c r="AM252" t="str">
        <f t="shared" si="214"/>
        <v>1-0,0172817574343684i</v>
      </c>
      <c r="AN252">
        <f t="shared" si="234"/>
        <v>1.0001493184220145</v>
      </c>
      <c r="AO252">
        <f t="shared" si="235"/>
        <v>-1.7280037290995344E-2</v>
      </c>
      <c r="AP252" s="41" t="str">
        <f t="shared" si="236"/>
        <v>0,58338878751253-2,81859609966798i</v>
      </c>
      <c r="AQ252">
        <f t="shared" si="237"/>
        <v>9.1828341530243165</v>
      </c>
      <c r="AR252" s="43">
        <f t="shared" si="238"/>
        <v>-78.306128447909813</v>
      </c>
      <c r="AS252" t="str">
        <f t="shared" si="215"/>
        <v>-0,0000166666666666667</v>
      </c>
      <c r="AT252" t="str">
        <f t="shared" si="216"/>
        <v>0,0000210727892226267i</v>
      </c>
      <c r="AU252">
        <f t="shared" si="239"/>
        <v>2.1072789222626699E-5</v>
      </c>
      <c r="AV252">
        <f t="shared" si="240"/>
        <v>1.5707963267948966</v>
      </c>
      <c r="AW252" t="str">
        <f t="shared" si="217"/>
        <v>1+0,0976485037947097i</v>
      </c>
      <c r="AX252">
        <f t="shared" si="241"/>
        <v>1.0047563039331207</v>
      </c>
      <c r="AY252">
        <f t="shared" si="242"/>
        <v>9.7339900451896347E-2</v>
      </c>
      <c r="AZ252" t="str">
        <f t="shared" si="218"/>
        <v>1+4,5362168580997i</v>
      </c>
      <c r="BA252">
        <f t="shared" si="243"/>
        <v>4.6451333009621925</v>
      </c>
      <c r="BB252">
        <f t="shared" si="244"/>
        <v>1.3538187303064531</v>
      </c>
      <c r="BC252" s="41" t="str">
        <f t="shared" si="245"/>
        <v>-3,47734803251862+1,13046721291567i</v>
      </c>
      <c r="BD252">
        <f t="shared" si="246"/>
        <v>11.261283362901541</v>
      </c>
      <c r="BE252" s="43">
        <f t="shared" si="247"/>
        <v>161.99093399820228</v>
      </c>
      <c r="BF252" s="41" t="str">
        <f t="shared" si="248"/>
        <v>0,514869258477131+3,28949182910926i</v>
      </c>
      <c r="BG252" s="20">
        <f t="shared" si="249"/>
        <v>10.447688744442285</v>
      </c>
      <c r="BH252" s="43">
        <f t="shared" si="250"/>
        <v>81.104274339459749</v>
      </c>
      <c r="BI252" s="41" t="str">
        <f t="shared" si="255"/>
        <v>1,15768462467652+10,4607414983106i</v>
      </c>
      <c r="BJ252" s="20">
        <f t="shared" si="251"/>
        <v>20.444117515925818</v>
      </c>
      <c r="BK252" s="43">
        <f t="shared" si="256"/>
        <v>83.684805550292438</v>
      </c>
      <c r="BL252">
        <f t="shared" si="252"/>
        <v>10.447688744442285</v>
      </c>
      <c r="BM252" s="43">
        <f t="shared" si="253"/>
        <v>81.104274339459749</v>
      </c>
    </row>
    <row r="253" spans="14:65" x14ac:dyDescent="0.25">
      <c r="N253" s="9">
        <v>35</v>
      </c>
      <c r="O253" s="34">
        <f t="shared" si="254"/>
        <v>2238.7211385683418</v>
      </c>
      <c r="P253" s="33" t="str">
        <f t="shared" si="206"/>
        <v>54,631621870174</v>
      </c>
      <c r="Q253" s="4" t="str">
        <f t="shared" si="207"/>
        <v>1+62,7905577408404i</v>
      </c>
      <c r="R253" s="4">
        <f t="shared" si="219"/>
        <v>62.798520216688324</v>
      </c>
      <c r="S253" s="4">
        <f t="shared" si="220"/>
        <v>1.5548717116389801</v>
      </c>
      <c r="T253" s="4" t="str">
        <f t="shared" si="208"/>
        <v>1+0,212682452442642i</v>
      </c>
      <c r="U253" s="4">
        <f t="shared" si="221"/>
        <v>1.0223667764442548</v>
      </c>
      <c r="V253" s="4">
        <f t="shared" si="222"/>
        <v>0.20955995601311384</v>
      </c>
      <c r="W253" t="str">
        <f t="shared" si="209"/>
        <v>1-0,0559745730307031i</v>
      </c>
      <c r="X253" s="4">
        <f t="shared" si="223"/>
        <v>1.0015653512507157</v>
      </c>
      <c r="Y253" s="4">
        <f t="shared" si="224"/>
        <v>-5.5916223717985755E-2</v>
      </c>
      <c r="Z253" t="str">
        <f t="shared" si="210"/>
        <v>0,999979952510655+0,00769045360968609i</v>
      </c>
      <c r="AA253" s="4">
        <f t="shared" si="225"/>
        <v>1.0000095242046119</v>
      </c>
      <c r="AB253" s="4">
        <f t="shared" si="226"/>
        <v>7.6904561709628316E-3</v>
      </c>
      <c r="AC253" s="47" t="str">
        <f t="shared" si="227"/>
        <v>0,143570662527391-0,879146630960617i</v>
      </c>
      <c r="AD253" s="20">
        <f t="shared" si="228"/>
        <v>-1.0044686575707276</v>
      </c>
      <c r="AE253" s="43">
        <f t="shared" si="229"/>
        <v>-80.725080033173697</v>
      </c>
      <c r="AF253" t="str">
        <f t="shared" si="211"/>
        <v>171,265703090588</v>
      </c>
      <c r="AG253" t="str">
        <f t="shared" si="212"/>
        <v>1+62,1896510084178i</v>
      </c>
      <c r="AH253">
        <f t="shared" si="230"/>
        <v>62.197690411692946</v>
      </c>
      <c r="AI253">
        <f t="shared" si="231"/>
        <v>1.5547178666329999</v>
      </c>
      <c r="AJ253" t="str">
        <f t="shared" si="213"/>
        <v>1+0,212682452442642i</v>
      </c>
      <c r="AK253">
        <f t="shared" si="232"/>
        <v>1.0223667764442548</v>
      </c>
      <c r="AL253">
        <f t="shared" si="233"/>
        <v>0.20955995601311384</v>
      </c>
      <c r="AM253" t="str">
        <f t="shared" si="214"/>
        <v>1-0,0176843012768851i</v>
      </c>
      <c r="AN253">
        <f t="shared" si="234"/>
        <v>1.0001563550323778</v>
      </c>
      <c r="AO253">
        <f t="shared" si="235"/>
        <v>-1.7682458125615041E-2</v>
      </c>
      <c r="AP253" s="41" t="str">
        <f t="shared" si="236"/>
        <v>0,581309454415538-2,75493663722797i</v>
      </c>
      <c r="AQ253">
        <f t="shared" si="237"/>
        <v>8.9914154037281708</v>
      </c>
      <c r="AR253" s="43">
        <f t="shared" si="238"/>
        <v>-78.085001279170058</v>
      </c>
      <c r="AS253" t="str">
        <f t="shared" si="215"/>
        <v>-0,0000166666666666667</v>
      </c>
      <c r="AT253" t="str">
        <f t="shared" si="216"/>
        <v>0,0000215636375393234i</v>
      </c>
      <c r="AU253">
        <f t="shared" si="239"/>
        <v>2.15636375393234E-5</v>
      </c>
      <c r="AV253">
        <f t="shared" si="240"/>
        <v>1.5707963267948966</v>
      </c>
      <c r="AW253" t="str">
        <f t="shared" si="217"/>
        <v>1+0,0999230296398273i</v>
      </c>
      <c r="AX253">
        <f t="shared" si="241"/>
        <v>1.0049799061933535</v>
      </c>
      <c r="AY253">
        <f t="shared" si="242"/>
        <v>9.9592443633136268E-2</v>
      </c>
      <c r="AZ253" t="str">
        <f t="shared" si="218"/>
        <v>1+4,64187892235925i</v>
      </c>
      <c r="BA253">
        <f t="shared" si="243"/>
        <v>4.7483723453245608</v>
      </c>
      <c r="BB253">
        <f t="shared" si="244"/>
        <v>1.3586091967646676</v>
      </c>
      <c r="BC253" s="41" t="str">
        <f t="shared" si="245"/>
        <v>-3,47580082470782+1,12021863372689i</v>
      </c>
      <c r="BD253">
        <f t="shared" si="246"/>
        <v>11.250282298464651</v>
      </c>
      <c r="BE253" s="43">
        <f t="shared" si="247"/>
        <v>162.13634629070103</v>
      </c>
      <c r="BF253" s="41" t="str">
        <f t="shared" si="248"/>
        <v>0,485813410563747+3,21656911635171i</v>
      </c>
      <c r="BG253" s="20">
        <f t="shared" si="249"/>
        <v>10.245813640893914</v>
      </c>
      <c r="BH253" s="43">
        <f t="shared" si="250"/>
        <v>81.41126625752733</v>
      </c>
      <c r="BI253" s="41" t="str">
        <f t="shared" si="255"/>
        <v>1,06561547469169+10,2268047184927i</v>
      </c>
      <c r="BJ253" s="20">
        <f t="shared" si="251"/>
        <v>20.241697702192848</v>
      </c>
      <c r="BK253" s="43">
        <f t="shared" si="256"/>
        <v>84.051345011530998</v>
      </c>
      <c r="BL253">
        <f t="shared" si="252"/>
        <v>10.245813640893914</v>
      </c>
      <c r="BM253" s="43">
        <f t="shared" si="253"/>
        <v>81.41126625752733</v>
      </c>
    </row>
    <row r="254" spans="14:65" x14ac:dyDescent="0.25">
      <c r="N254" s="9">
        <v>36</v>
      </c>
      <c r="O254" s="34">
        <f t="shared" si="254"/>
        <v>2290.8676527677749</v>
      </c>
      <c r="P254" s="33" t="str">
        <f t="shared" si="206"/>
        <v>54,631621870174</v>
      </c>
      <c r="Q254" s="4" t="str">
        <f t="shared" si="207"/>
        <v>1+64,253137717602i</v>
      </c>
      <c r="R254" s="4">
        <f t="shared" si="219"/>
        <v>64.260918967574128</v>
      </c>
      <c r="S254" s="4">
        <f t="shared" si="220"/>
        <v>1.5552341409312007</v>
      </c>
      <c r="T254" s="4" t="str">
        <f t="shared" si="208"/>
        <v>1+0,21763646316564i</v>
      </c>
      <c r="U254" s="4">
        <f t="shared" si="221"/>
        <v>1.0234088284254972</v>
      </c>
      <c r="V254" s="4">
        <f t="shared" si="222"/>
        <v>0.21429476734120245</v>
      </c>
      <c r="W254" t="str">
        <f t="shared" si="209"/>
        <v>1-0,0572783883282257i</v>
      </c>
      <c r="X254" s="4">
        <f t="shared" si="223"/>
        <v>1.0016390636199644</v>
      </c>
      <c r="Y254" s="4">
        <f t="shared" si="224"/>
        <v>-5.7215871437551982E-2</v>
      </c>
      <c r="Z254" t="str">
        <f t="shared" si="210"/>
        <v>0,99997900770159+0,007869587286252i</v>
      </c>
      <c r="AA254" s="4">
        <f t="shared" si="225"/>
        <v>1.0000099730742251</v>
      </c>
      <c r="AB254" s="4">
        <f t="shared" si="226"/>
        <v>7.8695900306767815E-3</v>
      </c>
      <c r="AC254" s="47" t="str">
        <f t="shared" si="227"/>
        <v>0,142944805643172-0,859668278060949i</v>
      </c>
      <c r="AD254" s="20">
        <f t="shared" si="228"/>
        <v>-1.1949351346590422</v>
      </c>
      <c r="AE254" s="43">
        <f t="shared" si="229"/>
        <v>-80.559288939414088</v>
      </c>
      <c r="AF254" t="str">
        <f t="shared" si="211"/>
        <v>171,265703090588</v>
      </c>
      <c r="AG254" t="str">
        <f t="shared" si="212"/>
        <v>1+63,6382340692996i</v>
      </c>
      <c r="AH254">
        <f t="shared" si="230"/>
        <v>63.646090496266652</v>
      </c>
      <c r="AI254">
        <f t="shared" si="231"/>
        <v>1.5550837961326429</v>
      </c>
      <c r="AJ254" t="str">
        <f t="shared" si="213"/>
        <v>1+0,21763646316564i</v>
      </c>
      <c r="AK254">
        <f t="shared" si="232"/>
        <v>1.0234088284254972</v>
      </c>
      <c r="AL254">
        <f t="shared" si="233"/>
        <v>0.21429476734120245</v>
      </c>
      <c r="AM254" t="str">
        <f t="shared" si="214"/>
        <v>1-0,0180962215700181i</v>
      </c>
      <c r="AN254">
        <f t="shared" si="234"/>
        <v>1.0001637232149101</v>
      </c>
      <c r="AO254">
        <f t="shared" si="235"/>
        <v>-1.809424661531019E-2</v>
      </c>
      <c r="AP254" s="41" t="str">
        <f t="shared" si="236"/>
        <v>0,579323659429637-2,69273486892642i</v>
      </c>
      <c r="AQ254">
        <f t="shared" si="237"/>
        <v>8.8003785433130925</v>
      </c>
      <c r="AR254" s="43">
        <f t="shared" si="238"/>
        <v>-77.85827653172025</v>
      </c>
      <c r="AS254" t="str">
        <f t="shared" si="215"/>
        <v>-0,0000166666666666667</v>
      </c>
      <c r="AT254" t="str">
        <f t="shared" si="216"/>
        <v>0,0000220659191820718i</v>
      </c>
      <c r="AU254">
        <f t="shared" si="239"/>
        <v>2.2065919182071799E-5</v>
      </c>
      <c r="AV254">
        <f t="shared" si="240"/>
        <v>1.5707963267948966</v>
      </c>
      <c r="AW254" t="str">
        <f t="shared" si="217"/>
        <v>1+0,102250535997897i</v>
      </c>
      <c r="AX254">
        <f t="shared" si="241"/>
        <v>1.0052139931934181</v>
      </c>
      <c r="AY254">
        <f t="shared" si="242"/>
        <v>0.10189640586831873</v>
      </c>
      <c r="AZ254" t="str">
        <f t="shared" si="218"/>
        <v>1+4,75000217226596i</v>
      </c>
      <c r="BA254">
        <f t="shared" si="243"/>
        <v>4.8541240854073093</v>
      </c>
      <c r="BB254">
        <f t="shared" si="244"/>
        <v>1.3633001925513124</v>
      </c>
      <c r="BC254" s="41" t="str">
        <f t="shared" si="245"/>
        <v>-3,47418217423917+1,11054958393534i</v>
      </c>
      <c r="BD254">
        <f t="shared" si="246"/>
        <v>11.239581495069347</v>
      </c>
      <c r="BE254" s="43">
        <f t="shared" si="247"/>
        <v>162.27311323875591</v>
      </c>
      <c r="BF254" s="41" t="str">
        <f t="shared" si="248"/>
        <v>0,458087952857406+3,14539150183097i</v>
      </c>
      <c r="BG254" s="20">
        <f t="shared" si="249"/>
        <v>10.044646360410292</v>
      </c>
      <c r="BH254" s="43">
        <f t="shared" si="250"/>
        <v>81.713824299341823</v>
      </c>
      <c r="BI254" s="41" t="str">
        <f t="shared" si="255"/>
        <v>0,977739657628969+9,9984191305199i</v>
      </c>
      <c r="BJ254" s="20">
        <f t="shared" si="251"/>
        <v>20.039960038382443</v>
      </c>
      <c r="BK254" s="43">
        <f t="shared" si="256"/>
        <v>84.414836707035661</v>
      </c>
      <c r="BL254">
        <f t="shared" si="252"/>
        <v>10.044646360410292</v>
      </c>
      <c r="BM254" s="43">
        <f t="shared" si="253"/>
        <v>81.713824299341823</v>
      </c>
    </row>
    <row r="255" spans="14:65" x14ac:dyDescent="0.25">
      <c r="N255" s="9">
        <v>37</v>
      </c>
      <c r="O255" s="34">
        <f t="shared" si="254"/>
        <v>2344.2288153199238</v>
      </c>
      <c r="P255" s="33" t="str">
        <f t="shared" si="206"/>
        <v>54,631621870174</v>
      </c>
      <c r="Q255" s="4" t="str">
        <f t="shared" si="207"/>
        <v>1+65,7497855584724i</v>
      </c>
      <c r="R255" s="4">
        <f t="shared" si="219"/>
        <v>65.757389706291619</v>
      </c>
      <c r="S255" s="4">
        <f t="shared" si="220"/>
        <v>1.5555883242763919</v>
      </c>
      <c r="T255" s="4" t="str">
        <f t="shared" si="208"/>
        <v>1+0,222705867622168i</v>
      </c>
      <c r="U255" s="4">
        <f t="shared" si="221"/>
        <v>1.0244988547935732</v>
      </c>
      <c r="V255" s="4">
        <f t="shared" si="222"/>
        <v>0.219129784259116</v>
      </c>
      <c r="W255" t="str">
        <f t="shared" si="209"/>
        <v>1-0,0586125733854092i</v>
      </c>
      <c r="X255" s="4">
        <f t="shared" si="223"/>
        <v>1.001716244132469</v>
      </c>
      <c r="Y255" s="4">
        <f t="shared" si="224"/>
        <v>-5.8545591527237602E-2</v>
      </c>
      <c r="Z255" t="str">
        <f t="shared" si="210"/>
        <v>0,999978018365046+0,0080528935221634i</v>
      </c>
      <c r="AA255" s="4">
        <f t="shared" si="225"/>
        <v>1.0000104430991528</v>
      </c>
      <c r="AB255" s="4">
        <f t="shared" si="226"/>
        <v>8.0528964628308487E-3</v>
      </c>
      <c r="AC255" s="47" t="str">
        <f t="shared" si="227"/>
        <v>0,142346735217987-0,840644859515917i</v>
      </c>
      <c r="AD255" s="20">
        <f t="shared" si="228"/>
        <v>-1.3849762604741533</v>
      </c>
      <c r="AE255" s="43">
        <f t="shared" si="229"/>
        <v>-80.38924612098937</v>
      </c>
      <c r="AF255" t="str">
        <f t="shared" si="211"/>
        <v>171,265703090588</v>
      </c>
      <c r="AG255" t="str">
        <f t="shared" si="212"/>
        <v>1+65,1205589642367i</v>
      </c>
      <c r="AH255">
        <f t="shared" si="230"/>
        <v>65.128236578419873</v>
      </c>
      <c r="AI255">
        <f t="shared" si="231"/>
        <v>1.5554414001264059</v>
      </c>
      <c r="AJ255" t="str">
        <f t="shared" si="213"/>
        <v>1+0,222705867622168i</v>
      </c>
      <c r="AK255">
        <f t="shared" si="232"/>
        <v>1.0244988547935732</v>
      </c>
      <c r="AL255">
        <f t="shared" si="233"/>
        <v>0.219129784259116</v>
      </c>
      <c r="AM255" t="str">
        <f t="shared" si="214"/>
        <v>1-0,0185177367193593i</v>
      </c>
      <c r="AN255">
        <f t="shared" si="234"/>
        <v>1.0001714385910085</v>
      </c>
      <c r="AO255">
        <f t="shared" si="235"/>
        <v>-1.8515620536853312E-2</v>
      </c>
      <c r="AP255" s="41" t="str">
        <f t="shared" si="236"/>
        <v>0,577427196806224-2,63195801535104i</v>
      </c>
      <c r="AQ255">
        <f t="shared" si="237"/>
        <v>8.6097401640215292</v>
      </c>
      <c r="AR255" s="43">
        <f t="shared" si="238"/>
        <v>-77.625882615330411</v>
      </c>
      <c r="AS255" t="str">
        <f t="shared" si="215"/>
        <v>-0,0000166666666666667</v>
      </c>
      <c r="AT255" t="str">
        <f t="shared" si="216"/>
        <v>0,0000225799004672475i</v>
      </c>
      <c r="AU255">
        <f t="shared" si="239"/>
        <v>2.2579900467247501E-5</v>
      </c>
      <c r="AV255">
        <f t="shared" si="240"/>
        <v>1.5707963267948966</v>
      </c>
      <c r="AW255" t="str">
        <f t="shared" si="217"/>
        <v>1+0,104632256943599i</v>
      </c>
      <c r="AX255">
        <f t="shared" si="241"/>
        <v>1.0054590539614785</v>
      </c>
      <c r="AY255">
        <f t="shared" si="242"/>
        <v>0.10425291085519568</v>
      </c>
      <c r="AZ255" t="str">
        <f t="shared" si="218"/>
        <v>1+4,86064393619812i</v>
      </c>
      <c r="BA255">
        <f t="shared" si="243"/>
        <v>4.9624449089636808</v>
      </c>
      <c r="BB255">
        <f t="shared" si="244"/>
        <v>1.3678933786914826</v>
      </c>
      <c r="BC255" s="41" t="str">
        <f t="shared" si="245"/>
        <v>-3,47248885416927+1,10145392679117i</v>
      </c>
      <c r="BD255">
        <f t="shared" si="246"/>
        <v>11.229160712765218</v>
      </c>
      <c r="BE255" s="43">
        <f t="shared" si="247"/>
        <v>162.40126562895608</v>
      </c>
      <c r="BF255" s="41" t="str">
        <f t="shared" si="248"/>
        <v>0,431634130078774+3,07591827545547i</v>
      </c>
      <c r="BG255" s="20">
        <f t="shared" si="249"/>
        <v>9.8441844522910706</v>
      </c>
      <c r="BH255" s="43">
        <f t="shared" si="250"/>
        <v>82.012019507966727</v>
      </c>
      <c r="BI255" s="41" t="str">
        <f t="shared" si="255"/>
        <v>0,893870986154079+9,77545432630619i</v>
      </c>
      <c r="BJ255" s="20">
        <f t="shared" si="251"/>
        <v>19.838900876786745</v>
      </c>
      <c r="BK255" s="43">
        <f t="shared" si="256"/>
        <v>84.775383013625671</v>
      </c>
      <c r="BL255">
        <f t="shared" si="252"/>
        <v>9.8441844522910706</v>
      </c>
      <c r="BM255" s="43">
        <f t="shared" si="253"/>
        <v>82.012019507966727</v>
      </c>
    </row>
    <row r="256" spans="14:65" x14ac:dyDescent="0.25">
      <c r="N256" s="9">
        <v>38</v>
      </c>
      <c r="O256" s="34">
        <f t="shared" si="254"/>
        <v>2398.8329190194918</v>
      </c>
      <c r="P256" s="33" t="str">
        <f t="shared" si="206"/>
        <v>54,631621870174</v>
      </c>
      <c r="Q256" s="4" t="str">
        <f t="shared" si="207"/>
        <v>1+67,2812948059469i</v>
      </c>
      <c r="R256" s="4">
        <f t="shared" si="219"/>
        <v>67.28872588156753</v>
      </c>
      <c r="S256" s="4">
        <f t="shared" si="220"/>
        <v>1.5559344491116007</v>
      </c>
      <c r="T256" s="4" t="str">
        <f t="shared" si="208"/>
        <v>1+0,22789335367757i</v>
      </c>
      <c r="U256" s="4">
        <f t="shared" si="221"/>
        <v>1.0256390108856088</v>
      </c>
      <c r="V256" s="4">
        <f t="shared" si="222"/>
        <v>0.22406666570255943</v>
      </c>
      <c r="W256" t="str">
        <f t="shared" si="209"/>
        <v>1-0,0599778356048305i</v>
      </c>
      <c r="X256" s="4">
        <f t="shared" si="223"/>
        <v>1.0017970556773663</v>
      </c>
      <c r="Y256" s="4">
        <f t="shared" si="224"/>
        <v>-5.9906070202379834E-2</v>
      </c>
      <c r="Z256" t="str">
        <f t="shared" si="210"/>
        <v>0,999976982402507+0,00824046950881287i</v>
      </c>
      <c r="AA256" s="4">
        <f t="shared" si="225"/>
        <v>1.0000109352764845</v>
      </c>
      <c r="AB256" s="4">
        <f t="shared" si="226"/>
        <v>8.2404726597536514E-3</v>
      </c>
      <c r="AC256" s="47" t="str">
        <f t="shared" si="227"/>
        <v>0,141775184455311-0,822066346842353i</v>
      </c>
      <c r="AD256" s="20">
        <f t="shared" si="228"/>
        <v>-1.5745735635600979</v>
      </c>
      <c r="AE256" s="43">
        <f t="shared" si="229"/>
        <v>-80.214912153189729</v>
      </c>
      <c r="AF256" t="str">
        <f t="shared" si="211"/>
        <v>171,265703090588</v>
      </c>
      <c r="AG256" t="str">
        <f t="shared" si="212"/>
        <v>1+66,6374116415089i</v>
      </c>
      <c r="AH256">
        <f t="shared" si="230"/>
        <v>66.644914511760817</v>
      </c>
      <c r="AI256">
        <f t="shared" si="231"/>
        <v>1.5557908678546046</v>
      </c>
      <c r="AJ256" t="str">
        <f t="shared" si="213"/>
        <v>1+0,22789335367757i</v>
      </c>
      <c r="AK256">
        <f t="shared" si="232"/>
        <v>1.0256390108856088</v>
      </c>
      <c r="AL256">
        <f t="shared" si="233"/>
        <v>0.22406666570255943</v>
      </c>
      <c r="AM256" t="str">
        <f t="shared" si="214"/>
        <v>1-0,0189490702178204i</v>
      </c>
      <c r="AN256">
        <f t="shared" si="234"/>
        <v>1.0001795175177903</v>
      </c>
      <c r="AO256">
        <f t="shared" si="235"/>
        <v>-1.8946802709392238E-2</v>
      </c>
      <c r="AP256" s="41" t="str">
        <f t="shared" si="236"/>
        <v>0,57561604972074-2,57257403920708i</v>
      </c>
      <c r="AQ256">
        <f t="shared" si="237"/>
        <v>8.4195174845413199</v>
      </c>
      <c r="AR256" s="43">
        <f t="shared" si="238"/>
        <v>-77.387748089254288</v>
      </c>
      <c r="AS256" t="str">
        <f t="shared" si="215"/>
        <v>-0,0000166666666666667</v>
      </c>
      <c r="AT256" t="str">
        <f t="shared" si="216"/>
        <v>0,0000231058539145313i</v>
      </c>
      <c r="AU256">
        <f t="shared" si="239"/>
        <v>2.3105853914531298E-5</v>
      </c>
      <c r="AV256">
        <f t="shared" si="240"/>
        <v>1.5707963267948966</v>
      </c>
      <c r="AW256" t="str">
        <f t="shared" si="217"/>
        <v>1+0,107069455296904i</v>
      </c>
      <c r="AX256">
        <f t="shared" si="241"/>
        <v>1.0057156000866128</v>
      </c>
      <c r="AY256">
        <f t="shared" si="242"/>
        <v>0.10666310329910905</v>
      </c>
      <c r="AZ256" t="str">
        <f t="shared" si="218"/>
        <v>1+4,97386287788346i</v>
      </c>
      <c r="BA256">
        <f t="shared" si="243"/>
        <v>5.073392546214726</v>
      </c>
      <c r="BB256">
        <f t="shared" si="244"/>
        <v>1.3723904149569655</v>
      </c>
      <c r="BC256" s="41" t="str">
        <f t="shared" si="245"/>
        <v>-3,47071749865496+1,09292575991316i</v>
      </c>
      <c r="BD256">
        <f t="shared" si="246"/>
        <v>11.219000124063275</v>
      </c>
      <c r="BE256" s="43">
        <f t="shared" si="247"/>
        <v>162.52083297243493</v>
      </c>
      <c r="BF256" s="41" t="str">
        <f t="shared" si="248"/>
        <v>0,406395873257631+3,00810980624876i</v>
      </c>
      <c r="BG256" s="20">
        <f t="shared" si="249"/>
        <v>9.644426560503172</v>
      </c>
      <c r="BH256" s="43">
        <f t="shared" si="250"/>
        <v>82.305920819245216</v>
      </c>
      <c r="BI256" s="41" t="str">
        <f t="shared" si="255"/>
        <v>0,81383174046085+9,55778334302074i</v>
      </c>
      <c r="BJ256" s="20">
        <f t="shared" si="251"/>
        <v>19.638517608604602</v>
      </c>
      <c r="BK256" s="43">
        <f t="shared" si="256"/>
        <v>85.133084883180658</v>
      </c>
      <c r="BL256">
        <f t="shared" si="252"/>
        <v>9.644426560503172</v>
      </c>
      <c r="BM256" s="43">
        <f t="shared" si="253"/>
        <v>82.305920819245216</v>
      </c>
    </row>
    <row r="257" spans="14:65" x14ac:dyDescent="0.25">
      <c r="N257" s="9">
        <v>39</v>
      </c>
      <c r="O257" s="34">
        <f t="shared" si="254"/>
        <v>2454.7089156850338</v>
      </c>
      <c r="P257" s="33" t="str">
        <f t="shared" si="206"/>
        <v>54,631621870174</v>
      </c>
      <c r="Q257" s="4" t="str">
        <f t="shared" si="207"/>
        <v>1+68,8484774865009i</v>
      </c>
      <c r="R257" s="4">
        <f t="shared" si="219"/>
        <v>68.855739428236632</v>
      </c>
      <c r="S257" s="4">
        <f t="shared" si="220"/>
        <v>1.5562726986248734</v>
      </c>
      <c r="T257" s="4" t="str">
        <f t="shared" si="208"/>
        <v>1+0,233201671805616i</v>
      </c>
      <c r="U257" s="4">
        <f t="shared" si="221"/>
        <v>1.0268315439900229</v>
      </c>
      <c r="V257" s="4">
        <f t="shared" si="222"/>
        <v>0.22910706623087432</v>
      </c>
      <c r="W257" t="str">
        <f t="shared" si="209"/>
        <v>1-0,06137489886659i</v>
      </c>
      <c r="X257" s="4">
        <f t="shared" si="223"/>
        <v>1.0018816687667682</v>
      </c>
      <c r="Y257" s="4">
        <f t="shared" si="224"/>
        <v>-6.129800865048983E-2</v>
      </c>
      <c r="Z257" t="str">
        <f t="shared" si="210"/>
        <v>0,999975897616557+0,00843241470147141i</v>
      </c>
      <c r="AA257" s="4">
        <f t="shared" si="225"/>
        <v>1.0000114506503095</v>
      </c>
      <c r="AB257" s="4">
        <f t="shared" si="226"/>
        <v>8.4324180777191077E-3</v>
      </c>
      <c r="AC257" s="47" t="str">
        <f t="shared" si="227"/>
        <v>0,141228942653047-0,803922943565599i</v>
      </c>
      <c r="AD257" s="20">
        <f t="shared" si="228"/>
        <v>-1.7637078702651199</v>
      </c>
      <c r="AE257" s="43">
        <f t="shared" si="229"/>
        <v>-80.03624860615966</v>
      </c>
      <c r="AF257" t="str">
        <f t="shared" si="211"/>
        <v>171,265703090588</v>
      </c>
      <c r="AG257" t="str">
        <f t="shared" si="212"/>
        <v>1+68,1895963564838i</v>
      </c>
      <c r="AH257">
        <f t="shared" si="230"/>
        <v>68.196928459133616</v>
      </c>
      <c r="AI257">
        <f t="shared" si="231"/>
        <v>1.5561323842680213</v>
      </c>
      <c r="AJ257" t="str">
        <f t="shared" si="213"/>
        <v>1+0,233201671805616i</v>
      </c>
      <c r="AK257">
        <f t="shared" si="232"/>
        <v>1.0268315439900229</v>
      </c>
      <c r="AL257">
        <f t="shared" si="233"/>
        <v>0.22910706623087432</v>
      </c>
      <c r="AM257" t="str">
        <f t="shared" si="214"/>
        <v>1-0,0193904507641315i</v>
      </c>
      <c r="AN257">
        <f t="shared" si="234"/>
        <v>1.0001879771227187</v>
      </c>
      <c r="AO257">
        <f t="shared" si="235"/>
        <v>-1.9388021109737787E-2</v>
      </c>
      <c r="AP257" s="41" t="str">
        <f t="shared" si="236"/>
        <v>0,573886381801839-2,51455162922332i</v>
      </c>
      <c r="AQ257">
        <f t="shared" si="237"/>
        <v>8.2297283674566142</v>
      </c>
      <c r="AR257" s="43">
        <f t="shared" si="238"/>
        <v>-77.143801813232756</v>
      </c>
      <c r="AS257" t="str">
        <f t="shared" si="215"/>
        <v>-0,0000166666666666667</v>
      </c>
      <c r="AT257" t="str">
        <f t="shared" si="216"/>
        <v>0,0000236440583914028i</v>
      </c>
      <c r="AU257">
        <f t="shared" si="239"/>
        <v>2.36440583914028E-5</v>
      </c>
      <c r="AV257">
        <f t="shared" si="240"/>
        <v>1.5707963267948966</v>
      </c>
      <c r="AW257" t="str">
        <f t="shared" si="217"/>
        <v>1+0,109563423292639i</v>
      </c>
      <c r="AX257">
        <f t="shared" si="241"/>
        <v>1.0059841667360387</v>
      </c>
      <c r="AY257">
        <f t="shared" si="242"/>
        <v>0.10912814904790738</v>
      </c>
      <c r="AZ257" t="str">
        <f t="shared" si="218"/>
        <v>1+5,08971902750352i</v>
      </c>
      <c r="BA257">
        <f t="shared" si="243"/>
        <v>5.1870261016242614</v>
      </c>
      <c r="BB257">
        <f t="shared" si="244"/>
        <v>1.3767929578309859</v>
      </c>
      <c r="BC257" s="41" t="str">
        <f t="shared" si="245"/>
        <v>-3,46886459763109+1,08495940748574i</v>
      </c>
      <c r="BD257">
        <f t="shared" si="246"/>
        <v>11.209080288734352</v>
      </c>
      <c r="BE257" s="43">
        <f t="shared" si="247"/>
        <v>162.63184338052895</v>
      </c>
      <c r="BF257" s="41" t="str">
        <f t="shared" si="248"/>
        <v>0,382319681185098+2,94192750809877i</v>
      </c>
      <c r="BG257" s="20">
        <f t="shared" si="249"/>
        <v>9.4453724184692298</v>
      </c>
      <c r="BH257" s="43">
        <f t="shared" si="250"/>
        <v>82.595594774369289</v>
      </c>
      <c r="BI257" s="41" t="str">
        <f t="shared" si="255"/>
        <v>0,737452292839437+9,34528255429221i</v>
      </c>
      <c r="BJ257" s="20">
        <f t="shared" si="251"/>
        <v>19.438808656190961</v>
      </c>
      <c r="BK257" s="43">
        <f t="shared" si="256"/>
        <v>85.488041567296179</v>
      </c>
      <c r="BL257">
        <f t="shared" si="252"/>
        <v>9.4453724184692298</v>
      </c>
      <c r="BM257" s="43">
        <f t="shared" si="253"/>
        <v>82.595594774369289</v>
      </c>
    </row>
    <row r="258" spans="14:65" x14ac:dyDescent="0.25">
      <c r="N258" s="9">
        <v>40</v>
      </c>
      <c r="O258" s="34">
        <f t="shared" si="254"/>
        <v>2511.8864315095811</v>
      </c>
      <c r="P258" s="33" t="str">
        <f t="shared" si="206"/>
        <v>54,631621870174</v>
      </c>
      <c r="Q258" s="4" t="str">
        <f t="shared" si="207"/>
        <v>1+70,4521645411359i</v>
      </c>
      <c r="R258" s="4">
        <f t="shared" si="219"/>
        <v>70.459261197739551</v>
      </c>
      <c r="S258" s="4">
        <f t="shared" si="220"/>
        <v>1.5566032518508011</v>
      </c>
      <c r="T258" s="4" t="str">
        <f t="shared" si="208"/>
        <v>1+0,238633636546844i</v>
      </c>
      <c r="U258" s="4">
        <f t="shared" si="221"/>
        <v>1.0280787968300733</v>
      </c>
      <c r="V258" s="4">
        <f t="shared" si="222"/>
        <v>0.23425263343612709</v>
      </c>
      <c r="W258" t="str">
        <f t="shared" si="209"/>
        <v>1-0,0628045039121218i</v>
      </c>
      <c r="X258" s="4">
        <f t="shared" si="223"/>
        <v>1.0019702618898665</v>
      </c>
      <c r="Y258" s="4">
        <f t="shared" si="224"/>
        <v>-6.2722123308607949E-2</v>
      </c>
      <c r="Z258" t="str">
        <f t="shared" si="210"/>
        <v>0,999974761706221+0,00862883087202094i</v>
      </c>
      <c r="AA258" s="4">
        <f t="shared" si="225"/>
        <v>1.000011990313932</v>
      </c>
      <c r="AB258" s="4">
        <f t="shared" si="226"/>
        <v>8.6288344896837104E-3</v>
      </c>
      <c r="AC258" s="47" t="str">
        <f t="shared" si="227"/>
        <v>0,140706852649326-0,786205080283028i</v>
      </c>
      <c r="AD258" s="20">
        <f t="shared" si="228"/>
        <v>-1.9523592848366389</v>
      </c>
      <c r="AE258" s="43">
        <f t="shared" si="229"/>
        <v>-79.853218217733399</v>
      </c>
      <c r="AF258" t="str">
        <f t="shared" si="211"/>
        <v>171,265703090588</v>
      </c>
      <c r="AG258" t="str">
        <f t="shared" si="212"/>
        <v>1+69,7779360980434i</v>
      </c>
      <c r="AH258">
        <f t="shared" si="230"/>
        <v>69.785101318996652</v>
      </c>
      <c r="AI258">
        <f t="shared" si="231"/>
        <v>1.5564661301243377</v>
      </c>
      <c r="AJ258" t="str">
        <f t="shared" si="213"/>
        <v>1+0,238633636546844i</v>
      </c>
      <c r="AK258">
        <f t="shared" si="232"/>
        <v>1.0280787968300733</v>
      </c>
      <c r="AL258">
        <f t="shared" si="233"/>
        <v>0.23425263343612709</v>
      </c>
      <c r="AM258" t="str">
        <f t="shared" si="214"/>
        <v>1-0,0198421123841008i</v>
      </c>
      <c r="AN258">
        <f t="shared" si="234"/>
        <v>1.000196835339856</v>
      </c>
      <c r="AO258">
        <f t="shared" si="235"/>
        <v>-1.983950899018324E-2</v>
      </c>
      <c r="AP258" s="41" t="str">
        <f t="shared" si="236"/>
        <v>0,572234529039-2,45786018438373i</v>
      </c>
      <c r="AQ258">
        <f t="shared" si="237"/>
        <v>8.0403913365016653</v>
      </c>
      <c r="AR258" s="43">
        <f t="shared" si="238"/>
        <v>-76.893973108218674</v>
      </c>
      <c r="AS258" t="str">
        <f t="shared" si="215"/>
        <v>-0,0000166666666666667</v>
      </c>
      <c r="AT258" t="str">
        <f t="shared" si="216"/>
        <v>0,0000241947992609994i</v>
      </c>
      <c r="AU258">
        <f t="shared" si="239"/>
        <v>2.4194799260999401E-5</v>
      </c>
      <c r="AV258">
        <f t="shared" si="240"/>
        <v>1.5707963267948966</v>
      </c>
      <c r="AW258" t="str">
        <f t="shared" si="217"/>
        <v>1+0,112115483265648i</v>
      </c>
      <c r="AX258">
        <f t="shared" si="241"/>
        <v>1.0062653137159652</v>
      </c>
      <c r="AY258">
        <f t="shared" si="242"/>
        <v>0.11164923520644926</v>
      </c>
      <c r="AZ258" t="str">
        <f t="shared" si="218"/>
        <v>1+5,20827381352238i</v>
      </c>
      <c r="BA258">
        <f t="shared" si="243"/>
        <v>5.3034060863395096</v>
      </c>
      <c r="BB258">
        <f t="shared" si="244"/>
        <v>1.3811026586198731</v>
      </c>
      <c r="BC258" s="41" t="str">
        <f t="shared" si="245"/>
        <v>-3,46692649134862+1,07754941227819i</v>
      </c>
      <c r="BD258">
        <f t="shared" si="246"/>
        <v>11.199382128320515</v>
      </c>
      <c r="BE258" s="43">
        <f t="shared" si="247"/>
        <v>162.734323450023</v>
      </c>
      <c r="BF258" s="41" t="str">
        <f t="shared" si="248"/>
        <v>0,359354507224869+2,87733380684189i</v>
      </c>
      <c r="BG258" s="20">
        <f t="shared" si="249"/>
        <v>9.2470228434838635</v>
      </c>
      <c r="BH258" s="43">
        <f t="shared" si="250"/>
        <v>82.88110523228957</v>
      </c>
      <c r="BI258" s="41" t="str">
        <f t="shared" si="255"/>
        <v>0,664570749154942+9,13783156572222i</v>
      </c>
      <c r="BJ258" s="20">
        <f t="shared" si="251"/>
        <v>19.239773464822182</v>
      </c>
      <c r="BK258" s="43">
        <f t="shared" si="256"/>
        <v>85.840350341804324</v>
      </c>
      <c r="BL258">
        <f t="shared" si="252"/>
        <v>9.2470228434838635</v>
      </c>
      <c r="BM258" s="43">
        <f t="shared" si="253"/>
        <v>82.88110523228957</v>
      </c>
    </row>
    <row r="259" spans="14:65" x14ac:dyDescent="0.25">
      <c r="N259" s="9">
        <v>41</v>
      </c>
      <c r="O259" s="34">
        <f t="shared" si="254"/>
        <v>2570.3957827688669</v>
      </c>
      <c r="P259" s="33" t="str">
        <f t="shared" si="206"/>
        <v>54,631621870174</v>
      </c>
      <c r="Q259" s="4" t="str">
        <f t="shared" si="207"/>
        <v>1+72,0932062659548i</v>
      </c>
      <c r="R259" s="4">
        <f t="shared" si="219"/>
        <v>72.10014139865126</v>
      </c>
      <c r="S259" s="4">
        <f t="shared" si="220"/>
        <v>1.556926283763969</v>
      </c>
      <c r="T259" s="4" t="str">
        <f t="shared" si="208"/>
        <v>1+0,244192128000857i</v>
      </c>
      <c r="U259" s="4">
        <f t="shared" si="221"/>
        <v>1.0293832111403347</v>
      </c>
      <c r="V259" s="4">
        <f t="shared" si="222"/>
        <v>0.23950500517662612</v>
      </c>
      <c r="W259" t="str">
        <f t="shared" si="209"/>
        <v>1-0,0642674087369433i</v>
      </c>
      <c r="X259" s="4">
        <f t="shared" si="223"/>
        <v>1.0020630218832354</v>
      </c>
      <c r="Y259" s="4">
        <f t="shared" si="224"/>
        <v>-6.4179146142130897E-2</v>
      </c>
      <c r="Z259" t="str">
        <f t="shared" si="210"/>
        <v>0,99997357226208+0,00882982216291483i</v>
      </c>
      <c r="AA259" s="4">
        <f t="shared" si="225"/>
        <v>1.0000125554121877</v>
      </c>
      <c r="AB259" s="4">
        <f t="shared" si="226"/>
        <v>8.829826039252189E-3</v>
      </c>
      <c r="AC259" s="47" t="str">
        <f t="shared" si="227"/>
        <v>0,140207808380644-0,768903409830693i</v>
      </c>
      <c r="AD259" s="20">
        <f t="shared" si="228"/>
        <v>-2.1405071696750522</v>
      </c>
      <c r="AE259" s="43">
        <f t="shared" si="229"/>
        <v>-79.665785076364713</v>
      </c>
      <c r="AF259" t="str">
        <f t="shared" si="211"/>
        <v>171,265703090588</v>
      </c>
      <c r="AG259" t="str">
        <f t="shared" si="212"/>
        <v>1+71,4032730249419i</v>
      </c>
      <c r="AH259">
        <f t="shared" si="230"/>
        <v>71.410275161732827</v>
      </c>
      <c r="AI259">
        <f t="shared" si="231"/>
        <v>1.5567922820824562</v>
      </c>
      <c r="AJ259" t="str">
        <f t="shared" si="213"/>
        <v>1+0,244192128000857i</v>
      </c>
      <c r="AK259">
        <f t="shared" si="232"/>
        <v>1.0293832111403347</v>
      </c>
      <c r="AL259">
        <f t="shared" si="233"/>
        <v>0.23950500517662612</v>
      </c>
      <c r="AM259" t="str">
        <f t="shared" si="214"/>
        <v>1-0,0203042945546975i</v>
      </c>
      <c r="AN259">
        <f t="shared" si="234"/>
        <v>1.0002061109478204</v>
      </c>
      <c r="AO259">
        <f t="shared" si="235"/>
        <v>-2.030150499890155E-2</v>
      </c>
      <c r="AP259" s="41" t="str">
        <f t="shared" si="236"/>
        <v>0,570656992051775-2,40246979847998i</v>
      </c>
      <c r="AQ259">
        <f t="shared" si="237"/>
        <v>7.8515255935382076</v>
      </c>
      <c r="AR259" s="43">
        <f t="shared" si="238"/>
        <v>-76.638191927185829</v>
      </c>
      <c r="AS259" t="str">
        <f t="shared" si="215"/>
        <v>-0,0000166666666666667</v>
      </c>
      <c r="AT259" t="str">
        <f t="shared" si="216"/>
        <v>0,0000247583685334203i</v>
      </c>
      <c r="AU259">
        <f t="shared" si="239"/>
        <v>2.4758368533420299E-5</v>
      </c>
      <c r="AV259">
        <f t="shared" si="240"/>
        <v>1.5707963267948966</v>
      </c>
      <c r="AW259" t="str">
        <f t="shared" si="217"/>
        <v>1+0,114726988351908i</v>
      </c>
      <c r="AX259">
        <f t="shared" si="241"/>
        <v>1.0065596265777299</v>
      </c>
      <c r="AY259">
        <f t="shared" si="242"/>
        <v>0.11422757022874111</v>
      </c>
      <c r="AZ259" t="str">
        <f t="shared" si="218"/>
        <v>1+5,3295900952568i</v>
      </c>
      <c r="BA259">
        <f t="shared" si="243"/>
        <v>5.4225944513175053</v>
      </c>
      <c r="BB259">
        <f t="shared" si="244"/>
        <v>1.3853211617051131</v>
      </c>
      <c r="BC259" s="41" t="str">
        <f t="shared" si="245"/>
        <v>-3,46489936477589+1,07069052746438i</v>
      </c>
      <c r="BD259">
        <f t="shared" si="246"/>
        <v>11.189886900401945</v>
      </c>
      <c r="BE259" s="43">
        <f t="shared" si="247"/>
        <v>162.8282981577222</v>
      </c>
      <c r="BF259" s="41" t="str">
        <f t="shared" si="248"/>
        <v>0,337451651246072+2,81429210860608i</v>
      </c>
      <c r="BG259" s="20">
        <f t="shared" si="249"/>
        <v>9.0493797307268924</v>
      </c>
      <c r="BH259" s="43">
        <f t="shared" si="250"/>
        <v>83.162513081357474</v>
      </c>
      <c r="BI259" s="41" t="str">
        <f t="shared" si="255"/>
        <v>0,595032606486657+8,93531311446769i</v>
      </c>
      <c r="BJ259" s="20">
        <f t="shared" si="251"/>
        <v>19.041412493940147</v>
      </c>
      <c r="BK259" s="43">
        <f t="shared" si="256"/>
        <v>86.190106230536372</v>
      </c>
      <c r="BL259">
        <f t="shared" si="252"/>
        <v>9.0493797307268924</v>
      </c>
      <c r="BM259" s="43">
        <f t="shared" si="253"/>
        <v>83.162513081357474</v>
      </c>
    </row>
    <row r="260" spans="14:65" x14ac:dyDescent="0.25">
      <c r="N260" s="9">
        <v>42</v>
      </c>
      <c r="O260" s="34">
        <f t="shared" si="254"/>
        <v>2630.2679918953822</v>
      </c>
      <c r="P260" s="33" t="str">
        <f t="shared" si="206"/>
        <v>54,631621870174</v>
      </c>
      <c r="Q260" s="4" t="str">
        <f t="shared" si="207"/>
        <v>1+73,7724727630024i</v>
      </c>
      <c r="R260" s="4">
        <f t="shared" si="219"/>
        <v>73.779250047475614</v>
      </c>
      <c r="S260" s="4">
        <f t="shared" si="220"/>
        <v>1.5572419653703529</v>
      </c>
      <c r="T260" s="4" t="str">
        <f t="shared" si="208"/>
        <v>1+0,249880093353402i</v>
      </c>
      <c r="U260" s="4">
        <f t="shared" si="221"/>
        <v>1.0307473313350393</v>
      </c>
      <c r="V260" s="4">
        <f t="shared" si="222"/>
        <v>0.24486580662884064</v>
      </c>
      <c r="W260" t="str">
        <f t="shared" si="209"/>
        <v>1-0,0657643889925569i</v>
      </c>
      <c r="X260" s="4">
        <f t="shared" si="223"/>
        <v>1.0021601443180448</v>
      </c>
      <c r="Y260" s="4">
        <f t="shared" si="224"/>
        <v>-6.5669824924806927E-2</v>
      </c>
      <c r="Z260" t="str">
        <f t="shared" si="210"/>
        <v>0,999972326761163+0,00903549514239603i</v>
      </c>
      <c r="AA260" s="4">
        <f t="shared" si="225"/>
        <v>1.0000131471438776</v>
      </c>
      <c r="AB260" s="4">
        <f t="shared" si="226"/>
        <v>9.035499295901115E-3</v>
      </c>
      <c r="AC260" s="47" t="str">
        <f t="shared" si="227"/>
        <v>0,13973075254728-0,752008802551631i</v>
      </c>
      <c r="AD260" s="20">
        <f t="shared" si="228"/>
        <v>-2.3281301258272902</v>
      </c>
      <c r="AE260" s="43">
        <f t="shared" si="229"/>
        <v>-79.473914814482683</v>
      </c>
      <c r="AF260" t="str">
        <f t="shared" si="211"/>
        <v>171,265703090588</v>
      </c>
      <c r="AG260" t="str">
        <f t="shared" si="212"/>
        <v>1+73,0664689123324i</v>
      </c>
      <c r="AH260">
        <f t="shared" si="230"/>
        <v>73.073311676130004</v>
      </c>
      <c r="AI260">
        <f t="shared" si="231"/>
        <v>1.5571110127947474</v>
      </c>
      <c r="AJ260" t="str">
        <f t="shared" si="213"/>
        <v>1+0,249880093353402i</v>
      </c>
      <c r="AK260">
        <f t="shared" si="232"/>
        <v>1.0307473313350393</v>
      </c>
      <c r="AL260">
        <f t="shared" si="233"/>
        <v>0.24486580662884064</v>
      </c>
      <c r="AM260" t="str">
        <f t="shared" si="214"/>
        <v>1-0,0207772423310262i</v>
      </c>
      <c r="AN260">
        <f t="shared" si="234"/>
        <v>1.000215823609526</v>
      </c>
      <c r="AO260">
        <f t="shared" si="235"/>
        <v>-2.077425330297088E-2</v>
      </c>
      <c r="AP260" s="41" t="str">
        <f t="shared" si="236"/>
        <v>0,569150428704611-2,3483512449807i</v>
      </c>
      <c r="AQ260">
        <f t="shared" si="237"/>
        <v>7.6631510351724703</v>
      </c>
      <c r="AR260" s="43">
        <f t="shared" si="238"/>
        <v>-76.376389036376992</v>
      </c>
      <c r="AS260" t="str">
        <f t="shared" si="215"/>
        <v>-0,0000166666666666667</v>
      </c>
      <c r="AT260" t="str">
        <f t="shared" si="216"/>
        <v>0,0000253350650205533i</v>
      </c>
      <c r="AU260">
        <f t="shared" si="239"/>
        <v>2.53350650205533E-5</v>
      </c>
      <c r="AV260">
        <f t="shared" si="240"/>
        <v>1.5707963267948966</v>
      </c>
      <c r="AW260" t="str">
        <f t="shared" si="217"/>
        <v>1+0,117399323205983i</v>
      </c>
      <c r="AX260">
        <f t="shared" si="241"/>
        <v>1.0068677177709209</v>
      </c>
      <c r="AY260">
        <f t="shared" si="242"/>
        <v>0.11686438398564333</v>
      </c>
      <c r="AZ260" t="str">
        <f t="shared" si="218"/>
        <v>1+5,45373219620519i</v>
      </c>
      <c r="BA260">
        <f t="shared" si="243"/>
        <v>5.5446546211576679</v>
      </c>
      <c r="BB260">
        <f t="shared" si="244"/>
        <v>1.3894501029293074</v>
      </c>
      <c r="BC260" s="41" t="str">
        <f t="shared" si="245"/>
        <v>-3,46277924186806+1,06437770822136i</v>
      </c>
      <c r="BD260">
        <f t="shared" si="246"/>
        <v>11.180576172660073</v>
      </c>
      <c r="BE260" s="43">
        <f t="shared" si="247"/>
        <v>162.91379076409345</v>
      </c>
      <c r="BF260" s="41" t="str">
        <f t="shared" si="248"/>
        <v>0,31656465645087+2,75276676934216i</v>
      </c>
      <c r="BG260" s="20">
        <f t="shared" si="249"/>
        <v>8.8524460468327693</v>
      </c>
      <c r="BH260" s="43">
        <f t="shared" si="250"/>
        <v>83.439875949610752</v>
      </c>
      <c r="BI260" s="41" t="str">
        <f t="shared" si="255"/>
        <v>0,5286904262127+8,737612972672i</v>
      </c>
      <c r="BJ260" s="20">
        <f t="shared" si="251"/>
        <v>18.843727207832544</v>
      </c>
      <c r="BK260" s="43">
        <f t="shared" si="256"/>
        <v>86.537401727716457</v>
      </c>
      <c r="BL260">
        <f t="shared" si="252"/>
        <v>8.8524460468327693</v>
      </c>
      <c r="BM260" s="43">
        <f t="shared" si="253"/>
        <v>83.439875949610752</v>
      </c>
    </row>
    <row r="261" spans="14:65" x14ac:dyDescent="0.25">
      <c r="N261" s="9">
        <v>43</v>
      </c>
      <c r="O261" s="34">
        <f t="shared" si="254"/>
        <v>2691.5348039269184</v>
      </c>
      <c r="P261" s="33" t="str">
        <f t="shared" si="206"/>
        <v>54,631621870174</v>
      </c>
      <c r="Q261" s="4" t="str">
        <f t="shared" si="207"/>
        <v>1+75,4908544016033i</v>
      </c>
      <c r="R261" s="4">
        <f t="shared" si="219"/>
        <v>75.497477429938471</v>
      </c>
      <c r="S261" s="4">
        <f t="shared" si="220"/>
        <v>1.5575504637967008</v>
      </c>
      <c r="T261" s="4" t="str">
        <f t="shared" si="208"/>
        <v>1+0,255700548438997i</v>
      </c>
      <c r="U261" s="4">
        <f t="shared" si="221"/>
        <v>1.0321738082668073</v>
      </c>
      <c r="V261" s="4">
        <f t="shared" si="222"/>
        <v>0.25033664715189052</v>
      </c>
      <c r="W261" t="str">
        <f t="shared" si="209"/>
        <v>1-0,0672962383977092i</v>
      </c>
      <c r="X261" s="4">
        <f t="shared" si="223"/>
        <v>1.0022618339049338</v>
      </c>
      <c r="Y261" s="4">
        <f t="shared" si="224"/>
        <v>-6.7194923519553099E-2</v>
      </c>
      <c r="Z261" t="str">
        <f t="shared" si="210"/>
        <v>0,999971022561597+0,00924595886100067i</v>
      </c>
      <c r="AA261" s="4">
        <f t="shared" si="225"/>
        <v>1.0000137667643108</v>
      </c>
      <c r="AB261" s="4">
        <f t="shared" si="226"/>
        <v>9.2459633114883571E-3</v>
      </c>
      <c r="AC261" s="47" t="str">
        <f t="shared" si="227"/>
        <v>0,139274674381141-0,735512341664509i</v>
      </c>
      <c r="AD261" s="20">
        <f t="shared" si="228"/>
        <v>-2.5152059738065393</v>
      </c>
      <c r="AE261" s="43">
        <f t="shared" si="229"/>
        <v>-79.277574812591666</v>
      </c>
      <c r="AF261" t="str">
        <f t="shared" si="211"/>
        <v>171,265703090588</v>
      </c>
      <c r="AG261" t="str">
        <f t="shared" si="212"/>
        <v>1+74,7684056086894i</v>
      </c>
      <c r="AH261">
        <f t="shared" si="230"/>
        <v>74.775092626258214</v>
      </c>
      <c r="AI261">
        <f t="shared" si="231"/>
        <v>1.557422490997268</v>
      </c>
      <c r="AJ261" t="str">
        <f t="shared" si="213"/>
        <v>1+0,255700548438997i</v>
      </c>
      <c r="AK261">
        <f t="shared" si="232"/>
        <v>1.0321738082668073</v>
      </c>
      <c r="AL261">
        <f t="shared" si="233"/>
        <v>0.25033664715189052</v>
      </c>
      <c r="AM261" t="str">
        <f t="shared" si="214"/>
        <v>1-0,0212612064762582i</v>
      </c>
      <c r="AN261">
        <f t="shared" si="234"/>
        <v>1.0002259939137885</v>
      </c>
      <c r="AO261">
        <f t="shared" si="235"/>
        <v>-2.1258003714075272E-2</v>
      </c>
      <c r="AP261" s="41" t="str">
        <f t="shared" si="236"/>
        <v>0,567711647051931-2,29547596221269i</v>
      </c>
      <c r="AQ261">
        <f t="shared" si="237"/>
        <v>7.4752882689186162</v>
      </c>
      <c r="AR261" s="43">
        <f t="shared" si="238"/>
        <v>-76.108496207325885</v>
      </c>
      <c r="AS261" t="str">
        <f t="shared" si="215"/>
        <v>-0,0000166666666666667</v>
      </c>
      <c r="AT261" t="str">
        <f t="shared" si="216"/>
        <v>0,0000259251944945094i</v>
      </c>
      <c r="AU261">
        <f t="shared" si="239"/>
        <v>2.5925194494509399E-5</v>
      </c>
      <c r="AV261">
        <f t="shared" si="240"/>
        <v>1.5707963267948966</v>
      </c>
      <c r="AW261" t="str">
        <f t="shared" si="217"/>
        <v>1+0,120133904735186i</v>
      </c>
      <c r="AX261">
        <f t="shared" si="241"/>
        <v>1.0071902278452283</v>
      </c>
      <c r="AY261">
        <f t="shared" si="242"/>
        <v>0.11956092780592573</v>
      </c>
      <c r="AZ261" t="str">
        <f t="shared" si="218"/>
        <v>1+5,58076593815271i</v>
      </c>
      <c r="BA261">
        <f t="shared" si="243"/>
        <v>5.6696515286607774</v>
      </c>
      <c r="BB261">
        <f t="shared" si="244"/>
        <v>1.3934911081096102</v>
      </c>
      <c r="BC261" s="41" t="str">
        <f t="shared" si="245"/>
        <v>-3,46056197970892+1,05860610308309i</v>
      </c>
      <c r="BD261">
        <f t="shared" si="246"/>
        <v>11.171431796767884</v>
      </c>
      <c r="BE261" s="43">
        <f t="shared" si="247"/>
        <v>162.990822725741</v>
      </c>
      <c r="BF261" s="41" t="str">
        <f t="shared" si="248"/>
        <v>0,296649210879268+2,69272306547566i</v>
      </c>
      <c r="BG261" s="20">
        <f t="shared" si="249"/>
        <v>8.6562258229613374</v>
      </c>
      <c r="BH261" s="43">
        <f t="shared" si="250"/>
        <v>83.713247913149345</v>
      </c>
      <c r="BI261" s="41" t="str">
        <f t="shared" si="255"/>
        <v>0,46540352185304+8,54461985452951i</v>
      </c>
      <c r="BJ261" s="20">
        <f t="shared" si="251"/>
        <v>18.646720065686498</v>
      </c>
      <c r="BK261" s="43">
        <f t="shared" si="256"/>
        <v>86.882326518415155</v>
      </c>
      <c r="BL261">
        <f t="shared" si="252"/>
        <v>8.6562258229613374</v>
      </c>
      <c r="BM261" s="43">
        <f t="shared" si="253"/>
        <v>83.713247913149345</v>
      </c>
    </row>
    <row r="262" spans="14:65" x14ac:dyDescent="0.25">
      <c r="N262" s="9">
        <v>44</v>
      </c>
      <c r="O262" s="34">
        <f t="shared" si="254"/>
        <v>2754.228703338169</v>
      </c>
      <c r="P262" s="33" t="str">
        <f t="shared" si="206"/>
        <v>54,631621870174</v>
      </c>
      <c r="Q262" s="4" t="str">
        <f t="shared" si="207"/>
        <v>1+77,2492622904475i</v>
      </c>
      <c r="R262" s="4">
        <f t="shared" si="219"/>
        <v>77.255734573029301</v>
      </c>
      <c r="S262" s="4">
        <f t="shared" si="220"/>
        <v>1.5578519423779453</v>
      </c>
      <c r="T262" s="4" t="str">
        <f t="shared" si="208"/>
        <v>1+0,261656579339972i</v>
      </c>
      <c r="U262" s="4">
        <f t="shared" si="221"/>
        <v>1.0336654030738841</v>
      </c>
      <c r="V262" s="4">
        <f t="shared" si="222"/>
        <v>0.25591911695919956</v>
      </c>
      <c r="W262" t="str">
        <f t="shared" si="209"/>
        <v>1-0,0688637691592309i</v>
      </c>
      <c r="X262" s="4">
        <f t="shared" si="223"/>
        <v>1.0023683049173173</v>
      </c>
      <c r="Y262" s="4">
        <f t="shared" si="224"/>
        <v>-6.875522215972972E-2</v>
      </c>
      <c r="Z262" t="str">
        <f t="shared" si="210"/>
        <v>0,999969656896999+0,00946132490937814i</v>
      </c>
      <c r="AA262" s="4">
        <f t="shared" si="225"/>
        <v>1.0000144155879669</v>
      </c>
      <c r="AB262" s="4">
        <f t="shared" si="226"/>
        <v>9.4613296780794911E-3</v>
      </c>
      <c r="AC262" s="47" t="str">
        <f t="shared" si="227"/>
        <v>0,138838607511378-0,719405318731032i</v>
      </c>
      <c r="AD262" s="20">
        <f t="shared" si="228"/>
        <v>-2.7017117348346376</v>
      </c>
      <c r="AE262" s="43">
        <f t="shared" si="229"/>
        <v>-79.076734414409415</v>
      </c>
      <c r="AF262" t="str">
        <f t="shared" si="211"/>
        <v>171,265703090588</v>
      </c>
      <c r="AG262" t="str">
        <f t="shared" si="212"/>
        <v>1+76,5099855033771i</v>
      </c>
      <c r="AH262">
        <f t="shared" si="230"/>
        <v>76.51652031899367</v>
      </c>
      <c r="AI262">
        <f t="shared" si="231"/>
        <v>1.5577268815979917</v>
      </c>
      <c r="AJ262" t="str">
        <f t="shared" si="213"/>
        <v>1+0,261656579339972i</v>
      </c>
      <c r="AK262">
        <f t="shared" si="232"/>
        <v>1.0336654030738841</v>
      </c>
      <c r="AL262">
        <f t="shared" si="233"/>
        <v>0.25591911695919956</v>
      </c>
      <c r="AM262" t="str">
        <f t="shared" si="214"/>
        <v>1-0,0217564435945892i</v>
      </c>
      <c r="AN262">
        <f t="shared" si="234"/>
        <v>1.0002366434188883</v>
      </c>
      <c r="AO262">
        <f t="shared" si="235"/>
        <v>-2.1753011816929801E-2</v>
      </c>
      <c r="AP262" s="41" t="str">
        <f t="shared" si="236"/>
        <v>0,566337598598779-2,24381603884951i</v>
      </c>
      <c r="AQ262">
        <f t="shared" si="237"/>
        <v>7.2879586288084415</v>
      </c>
      <c r="AR262" s="43">
        <f t="shared" si="238"/>
        <v>-75.834446419971044</v>
      </c>
      <c r="AS262" t="str">
        <f t="shared" si="215"/>
        <v>-0,0000166666666666667</v>
      </c>
      <c r="AT262" t="str">
        <f t="shared" si="216"/>
        <v>0,0000265290698497471i</v>
      </c>
      <c r="AU262">
        <f t="shared" si="239"/>
        <v>2.65290698497471E-5</v>
      </c>
      <c r="AV262">
        <f t="shared" si="240"/>
        <v>1.5707963267948966</v>
      </c>
      <c r="AW262" t="str">
        <f t="shared" si="217"/>
        <v>1+0,122932182850839i</v>
      </c>
      <c r="AX262">
        <f t="shared" si="241"/>
        <v>1.0075278267028023</v>
      </c>
      <c r="AY262">
        <f t="shared" si="242"/>
        <v>0.12231847448832452</v>
      </c>
      <c r="AZ262" t="str">
        <f t="shared" si="218"/>
        <v>1+5,71075867607081i</v>
      </c>
      <c r="BA262">
        <f t="shared" si="243"/>
        <v>5.7976516501354256</v>
      </c>
      <c r="BB262">
        <f t="shared" si="244"/>
        <v>1.3974457916723542</v>
      </c>
      <c r="BC262" s="41" t="str">
        <f t="shared" si="245"/>
        <v>-3,45824326253191+1,05337104502584i</v>
      </c>
      <c r="BD262">
        <f t="shared" si="246"/>
        <v>11.162435882138199</v>
      </c>
      <c r="BE262" s="43">
        <f t="shared" si="247"/>
        <v>163.05941361648442</v>
      </c>
      <c r="BF262" s="41" t="str">
        <f t="shared" si="248"/>
        <v>0,27766305338332+2,63412716561541i</v>
      </c>
      <c r="BG262" s="20">
        <f t="shared" si="249"/>
        <v>8.4607241473035781</v>
      </c>
      <c r="BH262" s="43">
        <f t="shared" si="250"/>
        <v>83.982679202075005</v>
      </c>
      <c r="BI262" s="41" t="str">
        <f t="shared" si="255"/>
        <v>0,405037661015921+8,35622532678578i</v>
      </c>
      <c r="BJ262" s="20">
        <f t="shared" si="251"/>
        <v>18.450394510946644</v>
      </c>
      <c r="BK262" s="43">
        <f t="shared" si="256"/>
        <v>87.224967196513362</v>
      </c>
      <c r="BL262">
        <f t="shared" si="252"/>
        <v>8.4607241473035781</v>
      </c>
      <c r="BM262" s="43">
        <f t="shared" si="253"/>
        <v>83.982679202075005</v>
      </c>
    </row>
    <row r="263" spans="14:65" x14ac:dyDescent="0.25">
      <c r="N263" s="9">
        <v>45</v>
      </c>
      <c r="O263" s="34">
        <f t="shared" si="254"/>
        <v>2818.3829312644561</v>
      </c>
      <c r="P263" s="33" t="str">
        <f t="shared" si="206"/>
        <v>54,631621870174</v>
      </c>
      <c r="Q263" s="4" t="str">
        <f t="shared" si="207"/>
        <v>1+79,0486287606729i</v>
      </c>
      <c r="R263" s="4">
        <f t="shared" si="219"/>
        <v>79.054953728040871</v>
      </c>
      <c r="S263" s="4">
        <f t="shared" si="220"/>
        <v>1.5581465607426856</v>
      </c>
      <c r="T263" s="4" t="str">
        <f t="shared" si="208"/>
        <v>1+0,267751344022746i</v>
      </c>
      <c r="U263" s="4">
        <f t="shared" si="221"/>
        <v>1.0352249911135196</v>
      </c>
      <c r="V263" s="4">
        <f t="shared" si="222"/>
        <v>0.26161478359226958</v>
      </c>
      <c r="W263" t="str">
        <f t="shared" si="209"/>
        <v>1-0,0704678124026805i</v>
      </c>
      <c r="X263" s="4">
        <f t="shared" si="223"/>
        <v>1.0024797816339337</v>
      </c>
      <c r="Y263" s="4">
        <f t="shared" si="224"/>
        <v>-7.0351517730466773E-2</v>
      </c>
      <c r="Z263" t="str">
        <f t="shared" si="210"/>
        <v>0,999968226870611+0,009681707477458i</v>
      </c>
      <c r="AA263" s="4">
        <f t="shared" si="225"/>
        <v>1.0000150949912869</v>
      </c>
      <c r="AB263" s="4">
        <f t="shared" si="226"/>
        <v>9.6817125871214143E-3</v>
      </c>
      <c r="AC263" s="47" t="str">
        <f t="shared" si="227"/>
        <v>0,138421627923342-0,703679229220694i</v>
      </c>
      <c r="AD263" s="20">
        <f t="shared" si="228"/>
        <v>-2.8876236126096186</v>
      </c>
      <c r="AE263" s="43">
        <f t="shared" si="229"/>
        <v>-78.871365153311331</v>
      </c>
      <c r="AF263" t="str">
        <f t="shared" si="211"/>
        <v>171,265703090588</v>
      </c>
      <c r="AG263" t="str">
        <f t="shared" si="212"/>
        <v>1+78,2921320051079i</v>
      </c>
      <c r="AH263">
        <f t="shared" si="230"/>
        <v>78.298518082433986</v>
      </c>
      <c r="AI263">
        <f t="shared" si="231"/>
        <v>1.5580243457630911</v>
      </c>
      <c r="AJ263" t="str">
        <f t="shared" si="213"/>
        <v>1+0,267751344022746i</v>
      </c>
      <c r="AK263">
        <f t="shared" si="232"/>
        <v>1.0352249911135196</v>
      </c>
      <c r="AL263">
        <f t="shared" si="233"/>
        <v>0.26161478359226958</v>
      </c>
      <c r="AM263" t="str">
        <f t="shared" si="214"/>
        <v>1-0,0222632162672947i</v>
      </c>
      <c r="AN263">
        <f t="shared" si="234"/>
        <v>1.0002477946981758</v>
      </c>
      <c r="AO263">
        <f t="shared" si="235"/>
        <v>-2.2259539100480005E-2</v>
      </c>
      <c r="AP263" s="41" t="str">
        <f t="shared" si="236"/>
        <v>0,56502537186299-2,19334419970285i</v>
      </c>
      <c r="AQ263">
        <f t="shared" si="237"/>
        <v>7.1011841903395565</v>
      </c>
      <c r="AR263" s="43">
        <f t="shared" si="238"/>
        <v>-75.554174077154912</v>
      </c>
      <c r="AS263" t="str">
        <f t="shared" si="215"/>
        <v>-0,0000166666666666667</v>
      </c>
      <c r="AT263" t="str">
        <f t="shared" si="216"/>
        <v>0,0000271470112689728i</v>
      </c>
      <c r="AU263">
        <f t="shared" si="239"/>
        <v>2.7147011268972801E-5</v>
      </c>
      <c r="AV263">
        <f t="shared" si="240"/>
        <v>1.5707963267948966</v>
      </c>
      <c r="AW263" t="str">
        <f t="shared" si="217"/>
        <v>1+0,12579564123704i</v>
      </c>
      <c r="AX263">
        <f t="shared" si="241"/>
        <v>1.0078812149029459</v>
      </c>
      <c r="AY263">
        <f t="shared" si="242"/>
        <v>0.12513831828211913</v>
      </c>
      <c r="AZ263" t="str">
        <f t="shared" si="218"/>
        <v>1+5,84377933382978i</v>
      </c>
      <c r="BA263">
        <f t="shared" si="243"/>
        <v>5.9287230414732672</v>
      </c>
      <c r="BB263">
        <f t="shared" si="244"/>
        <v>1.4013157554026869</v>
      </c>
      <c r="BC263" s="41" t="str">
        <f t="shared" si="245"/>
        <v>-3,45581859562791+1,04866804226017i</v>
      </c>
      <c r="BD263">
        <f t="shared" si="246"/>
        <v>11.15357076955493</v>
      </c>
      <c r="BE263" s="43">
        <f t="shared" si="247"/>
        <v>163.11958105683053</v>
      </c>
      <c r="BF263" s="41" t="str">
        <f t="shared" si="248"/>
        <v>0,259565883871438+2,57694610325883i</v>
      </c>
      <c r="BG263" s="20">
        <f t="shared" si="249"/>
        <v>8.2659471569453267</v>
      </c>
      <c r="BH263" s="43">
        <f t="shared" si="250"/>
        <v>84.248215903519224</v>
      </c>
      <c r="BI263" s="41" t="str">
        <f t="shared" si="255"/>
        <v>0,347464780819392+8,17232372248461i</v>
      </c>
      <c r="BJ263" s="20">
        <f t="shared" si="251"/>
        <v>18.254754959894484</v>
      </c>
      <c r="BK263" s="43">
        <f t="shared" si="256"/>
        <v>87.565406979675643</v>
      </c>
      <c r="BL263">
        <f t="shared" si="252"/>
        <v>8.2659471569453267</v>
      </c>
      <c r="BM263" s="43">
        <f t="shared" si="253"/>
        <v>84.248215903519224</v>
      </c>
    </row>
    <row r="264" spans="14:65" x14ac:dyDescent="0.25">
      <c r="N264" s="9">
        <v>46</v>
      </c>
      <c r="O264" s="34">
        <f t="shared" si="254"/>
        <v>2884.0315031266077</v>
      </c>
      <c r="P264" s="33" t="str">
        <f t="shared" si="206"/>
        <v>54,631621870174</v>
      </c>
      <c r="Q264" s="4" t="str">
        <f t="shared" si="207"/>
        <v>1+80,8899078601994i</v>
      </c>
      <c r="R264" s="4">
        <f t="shared" si="219"/>
        <v>80.896088864861383</v>
      </c>
      <c r="S264" s="4">
        <f t="shared" si="220"/>
        <v>1.5584344748967778</v>
      </c>
      <c r="T264" s="4" t="str">
        <f t="shared" si="208"/>
        <v>1+0,27398807401223i</v>
      </c>
      <c r="U264" s="4">
        <f t="shared" si="221"/>
        <v>1.0368555659786618</v>
      </c>
      <c r="V264" s="4">
        <f t="shared" si="222"/>
        <v>0.26742518819209543</v>
      </c>
      <c r="W264" t="str">
        <f t="shared" si="209"/>
        <v>1-0,0721092186130178i</v>
      </c>
      <c r="X264" s="4">
        <f t="shared" si="223"/>
        <v>1.0025964988014771</v>
      </c>
      <c r="Y264" s="4">
        <f t="shared" si="224"/>
        <v>-7.1984624049599141E-2</v>
      </c>
      <c r="Z264" t="str">
        <f t="shared" si="210"/>
        <v>0,999966729449156+0,00990722341499495i</v>
      </c>
      <c r="AA264" s="4">
        <f t="shared" si="225"/>
        <v>1.0000158064155968</v>
      </c>
      <c r="AB264" s="4">
        <f t="shared" si="226"/>
        <v>9.9072288899945543E-3</v>
      </c>
      <c r="AC264" s="47" t="str">
        <f t="shared" si="227"/>
        <v>0,138022852006613-0,68832576817135i</v>
      </c>
      <c r="AD264" s="20">
        <f t="shared" si="228"/>
        <v>-3.0729169757098838</v>
      </c>
      <c r="AE264" s="43">
        <f t="shared" si="229"/>
        <v>-78.661440990317843</v>
      </c>
      <c r="AF264" t="str">
        <f t="shared" si="211"/>
        <v>171,265703090588</v>
      </c>
      <c r="AG264" t="str">
        <f t="shared" si="212"/>
        <v>1+80,1157900315466i</v>
      </c>
      <c r="AH264">
        <f t="shared" si="230"/>
        <v>80.122030755459889</v>
      </c>
      <c r="AI264">
        <f t="shared" si="231"/>
        <v>1.5583150410013145</v>
      </c>
      <c r="AJ264" t="str">
        <f t="shared" si="213"/>
        <v>1+0,27398807401223i</v>
      </c>
      <c r="AK264">
        <f t="shared" si="232"/>
        <v>1.0368555659786618</v>
      </c>
      <c r="AL264">
        <f t="shared" si="233"/>
        <v>0.26742518819209543</v>
      </c>
      <c r="AM264" t="str">
        <f t="shared" si="214"/>
        <v>1-0,0227817931919535i</v>
      </c>
      <c r="AN264">
        <f t="shared" si="234"/>
        <v>1.0002594713878199</v>
      </c>
      <c r="AO264">
        <f t="shared" si="235"/>
        <v>-2.2777853091922953E-2</v>
      </c>
      <c r="AP264" s="41" t="str">
        <f t="shared" si="236"/>
        <v>0,563772186225498-2,14403379181162i</v>
      </c>
      <c r="AQ264">
        <f t="shared" si="237"/>
        <v>6.9149877846443832</v>
      </c>
      <c r="AR264" s="43">
        <f t="shared" si="238"/>
        <v>-75.267615230768499</v>
      </c>
      <c r="AS264" t="str">
        <f t="shared" si="215"/>
        <v>-0,0000166666666666667</v>
      </c>
      <c r="AT264" t="str">
        <f t="shared" si="216"/>
        <v>0,0000277793463929066i</v>
      </c>
      <c r="AU264">
        <f t="shared" si="239"/>
        <v>2.77793463929066E-5</v>
      </c>
      <c r="AV264">
        <f t="shared" si="240"/>
        <v>1.5707963267948966</v>
      </c>
      <c r="AW264" t="str">
        <f t="shared" si="217"/>
        <v>1+0,128725798137327i</v>
      </c>
      <c r="AX264">
        <f t="shared" si="241"/>
        <v>1.00825112502099</v>
      </c>
      <c r="AY264">
        <f t="shared" si="242"/>
        <v>0.12802177483356666</v>
      </c>
      <c r="AZ264" t="str">
        <f t="shared" si="218"/>
        <v>1+5,97989844074311i</v>
      </c>
      <c r="BA264">
        <f t="shared" si="243"/>
        <v>6.0629353750144714</v>
      </c>
      <c r="BB264">
        <f t="shared" si="244"/>
        <v>1.405102587303187</v>
      </c>
      <c r="BC264" s="41" t="str">
        <f t="shared" si="245"/>
        <v>-3,45328329914876+1,04449276870366i</v>
      </c>
      <c r="BD264">
        <f t="shared" si="246"/>
        <v>11.144819004708859</v>
      </c>
      <c r="BE264" s="43">
        <f t="shared" si="247"/>
        <v>163.17134065164745</v>
      </c>
      <c r="BF264" s="41" t="str">
        <f t="shared" si="248"/>
        <v>0,242319277632049+2,52114775043663i</v>
      </c>
      <c r="BG264" s="20">
        <f t="shared" si="249"/>
        <v>8.0719020289989878</v>
      </c>
      <c r="BH264" s="43">
        <f t="shared" si="250"/>
        <v>84.509899661329626</v>
      </c>
      <c r="BI264" s="41" t="str">
        <f t="shared" si="255"/>
        <v>0,292562716186429+7,99281205778244i</v>
      </c>
      <c r="BJ264" s="20">
        <f t="shared" si="251"/>
        <v>18.059806789353239</v>
      </c>
      <c r="BK264" s="43">
        <f t="shared" si="256"/>
        <v>87.903725420878942</v>
      </c>
      <c r="BL264">
        <f t="shared" si="252"/>
        <v>8.0719020289989878</v>
      </c>
      <c r="BM264" s="43">
        <f t="shared" si="253"/>
        <v>84.509899661329626</v>
      </c>
    </row>
    <row r="265" spans="14:65" x14ac:dyDescent="0.25">
      <c r="N265" s="9">
        <v>47</v>
      </c>
      <c r="O265" s="34">
        <f t="shared" si="254"/>
        <v>2951.2092266663876</v>
      </c>
      <c r="P265" s="33" t="str">
        <f t="shared" si="206"/>
        <v>54,631621870174</v>
      </c>
      <c r="Q265" s="4" t="str">
        <f t="shared" si="207"/>
        <v>1+82,7740758595779i</v>
      </c>
      <c r="R265" s="4">
        <f t="shared" si="219"/>
        <v>82.780116177782432</v>
      </c>
      <c r="S265" s="4">
        <f t="shared" si="220"/>
        <v>1.5587158373050758</v>
      </c>
      <c r="T265" s="4" t="str">
        <f t="shared" si="208"/>
        <v>1+0,280370076105215i</v>
      </c>
      <c r="U265" s="4">
        <f t="shared" si="221"/>
        <v>1.0385602435945851</v>
      </c>
      <c r="V265" s="4">
        <f t="shared" si="222"/>
        <v>0.27335184156429954</v>
      </c>
      <c r="W265" t="str">
        <f t="shared" si="209"/>
        <v>1-0,073788858085542i</v>
      </c>
      <c r="X265" s="4">
        <f t="shared" si="223"/>
        <v>1.0027187021181805</v>
      </c>
      <c r="Y265" s="4">
        <f t="shared" si="224"/>
        <v>-7.3655372147730686E-2</v>
      </c>
      <c r="Z265" t="str">
        <f t="shared" si="210"/>
        <v>0,999965161456402+0,0101379922935241i</v>
      </c>
      <c r="AA265" s="4">
        <f t="shared" si="225"/>
        <v>1.000016551370162</v>
      </c>
      <c r="AB265" s="4">
        <f t="shared" si="226"/>
        <v>1.0137998159975868E-2</v>
      </c>
      <c r="AC265" s="47" t="str">
        <f t="shared" si="227"/>
        <v>0,137641434688022-0,673336825944179i</v>
      </c>
      <c r="AD265" s="20">
        <f t="shared" si="228"/>
        <v>-3.257566340753498</v>
      </c>
      <c r="AE265" s="43">
        <f t="shared" si="229"/>
        <v>-78.446938563826322</v>
      </c>
      <c r="AF265" t="str">
        <f t="shared" si="211"/>
        <v>171,265703090588</v>
      </c>
      <c r="AG265" t="str">
        <f t="shared" si="212"/>
        <v>1+81,9819265103179i</v>
      </c>
      <c r="AH265">
        <f t="shared" si="230"/>
        <v>81.988025188701585</v>
      </c>
      <c r="AI265">
        <f t="shared" si="231"/>
        <v>1.5585991212464936</v>
      </c>
      <c r="AJ265" t="str">
        <f t="shared" si="213"/>
        <v>1+0,280370076105215i</v>
      </c>
      <c r="AK265">
        <f t="shared" si="232"/>
        <v>1.0385602435945851</v>
      </c>
      <c r="AL265">
        <f t="shared" si="233"/>
        <v>0.27335184156429954</v>
      </c>
      <c r="AM265" t="str">
        <f t="shared" si="214"/>
        <v>1-0,0233124493249154i</v>
      </c>
      <c r="AN265">
        <f t="shared" si="234"/>
        <v>1.0002716982367974</v>
      </c>
      <c r="AO265">
        <f t="shared" si="235"/>
        <v>-2.3308227493601379E-2</v>
      </c>
      <c r="AP265" s="41" t="str">
        <f t="shared" si="236"/>
        <v>0,562575386055924-2,09585877082452i</v>
      </c>
      <c r="AQ265">
        <f t="shared" si="237"/>
        <v>6.7293930117572733</v>
      </c>
      <c r="AR265" s="43">
        <f t="shared" si="238"/>
        <v>-74.974707819773982</v>
      </c>
      <c r="AS265" t="str">
        <f t="shared" si="215"/>
        <v>-0,0000166666666666667</v>
      </c>
      <c r="AT265" t="str">
        <f t="shared" si="216"/>
        <v>0,0000284264104940009i</v>
      </c>
      <c r="AU265">
        <f t="shared" si="239"/>
        <v>2.8426410494000901E-5</v>
      </c>
      <c r="AV265">
        <f t="shared" si="240"/>
        <v>1.5707963267948966</v>
      </c>
      <c r="AW265" t="str">
        <f t="shared" si="217"/>
        <v>1+0,131724207159674i</v>
      </c>
      <c r="AX265">
        <f t="shared" si="241"/>
        <v>1.0086383230632499</v>
      </c>
      <c r="AY265">
        <f t="shared" si="242"/>
        <v>0.13097018109541061</v>
      </c>
      <c r="AZ265" t="str">
        <f t="shared" si="218"/>
        <v>1+6,11918816896302i</v>
      </c>
      <c r="BA265">
        <f t="shared" si="243"/>
        <v>6.2003599772252747</v>
      </c>
      <c r="BB265">
        <f t="shared" si="244"/>
        <v>1.4088078605555887</v>
      </c>
      <c r="BC265" s="41" t="str">
        <f t="shared" si="245"/>
        <v>-3,45063250181717+1,0408410541081i</v>
      </c>
      <c r="BD265">
        <f t="shared" si="246"/>
        <v>11.13616331165691</v>
      </c>
      <c r="BE265" s="43">
        <f t="shared" si="247"/>
        <v>163.21470593585909</v>
      </c>
      <c r="BF265" s="41" t="str">
        <f t="shared" si="248"/>
        <v>0,225886603554307+2,46670079224303i</v>
      </c>
      <c r="BG265" s="20">
        <f t="shared" si="249"/>
        <v>7.8785969709034243</v>
      </c>
      <c r="BH265" s="43">
        <f t="shared" si="250"/>
        <v>84.767767372032779</v>
      </c>
      <c r="BI265" s="41" t="str">
        <f t="shared" si="255"/>
        <v>0,240214940439786+7,81758995166339i</v>
      </c>
      <c r="BJ265" s="20">
        <f t="shared" si="251"/>
        <v>17.865556323414179</v>
      </c>
      <c r="BK265" s="43">
        <f t="shared" si="256"/>
        <v>88.239998116085118</v>
      </c>
      <c r="BL265">
        <f t="shared" si="252"/>
        <v>7.8785969709034243</v>
      </c>
      <c r="BM265" s="43">
        <f t="shared" si="253"/>
        <v>84.767767372032779</v>
      </c>
    </row>
    <row r="266" spans="14:65" x14ac:dyDescent="0.25">
      <c r="N266" s="9">
        <v>48</v>
      </c>
      <c r="O266" s="34">
        <f t="shared" si="254"/>
        <v>3019.9517204020176</v>
      </c>
      <c r="P266" s="33" t="str">
        <f t="shared" si="206"/>
        <v>54,631621870174</v>
      </c>
      <c r="Q266" s="4" t="str">
        <f t="shared" si="207"/>
        <v>1+84,7021317696216i</v>
      </c>
      <c r="R266" s="4">
        <f t="shared" si="219"/>
        <v>84.708034603090283</v>
      </c>
      <c r="S266" s="4">
        <f t="shared" si="220"/>
        <v>1.5589907969713583</v>
      </c>
      <c r="T266" s="4" t="str">
        <f t="shared" si="208"/>
        <v>1+0,286900734123688i</v>
      </c>
      <c r="U266" s="4">
        <f t="shared" si="221"/>
        <v>1.040342266391552</v>
      </c>
      <c r="V266" s="4">
        <f t="shared" si="222"/>
        <v>0.27939622003484088</v>
      </c>
      <c r="W266" t="str">
        <f t="shared" si="209"/>
        <v>1-0,0755076213873342i</v>
      </c>
      <c r="X266" s="4">
        <f t="shared" si="223"/>
        <v>1.0028466487392642</v>
      </c>
      <c r="Y266" s="4">
        <f t="shared" si="224"/>
        <v>-7.5364610546905422E-2</v>
      </c>
      <c r="Z266" t="str">
        <f t="shared" si="210"/>
        <v>0,999963519566426+0,0103741364697595i</v>
      </c>
      <c r="AA266" s="4">
        <f t="shared" si="225"/>
        <v>1.0000173314353944</v>
      </c>
      <c r="AB266" s="4">
        <f t="shared" si="226"/>
        <v>1.0374142755645665E-2</v>
      </c>
      <c r="AC266" s="47" t="str">
        <f t="shared" si="227"/>
        <v>0,137276567645796-0,658704484071458i</v>
      </c>
      <c r="AD266" s="20">
        <f t="shared" si="228"/>
        <v>-3.4415453564409573</v>
      </c>
      <c r="AE266" s="43">
        <f t="shared" si="229"/>
        <v>-78.227837451240148</v>
      </c>
      <c r="AF266" t="str">
        <f t="shared" si="211"/>
        <v>171,265703090588</v>
      </c>
      <c r="AG266" t="str">
        <f t="shared" si="212"/>
        <v>1+83,8915308916841i</v>
      </c>
      <c r="AH266">
        <f t="shared" si="230"/>
        <v>83.897490757175731</v>
      </c>
      <c r="AI266">
        <f t="shared" si="231"/>
        <v>1.5588767369382235</v>
      </c>
      <c r="AJ266" t="str">
        <f t="shared" si="213"/>
        <v>1+0,286900734123688i</v>
      </c>
      <c r="AK266">
        <f t="shared" si="232"/>
        <v>1.040342266391552</v>
      </c>
      <c r="AL266">
        <f t="shared" si="233"/>
        <v>0.27939622003484088</v>
      </c>
      <c r="AM266" t="str">
        <f t="shared" si="214"/>
        <v>1-0,0238554660270861i</v>
      </c>
      <c r="AN266">
        <f t="shared" si="234"/>
        <v>1.0002845011592298</v>
      </c>
      <c r="AO266">
        <f t="shared" si="235"/>
        <v>-2.3850942322817467E-2</v>
      </c>
      <c r="AP266" s="41" t="str">
        <f t="shared" si="236"/>
        <v>0,561432435101221-2,04879368767084i</v>
      </c>
      <c r="AQ266">
        <f t="shared" si="237"/>
        <v>6.5444242528449408</v>
      </c>
      <c r="AR266" s="43">
        <f t="shared" si="238"/>
        <v>-74.675391920288178</v>
      </c>
      <c r="AS266" t="str">
        <f t="shared" si="215"/>
        <v>-0,0000166666666666667</v>
      </c>
      <c r="AT266" t="str">
        <f t="shared" si="216"/>
        <v>0,0000290885466542072i</v>
      </c>
      <c r="AU266">
        <f t="shared" si="239"/>
        <v>2.9088546654207201E-5</v>
      </c>
      <c r="AV266">
        <f t="shared" si="240"/>
        <v>1.5707963267948966</v>
      </c>
      <c r="AW266" t="str">
        <f t="shared" si="217"/>
        <v>1+0,134792458100232i</v>
      </c>
      <c r="AX266">
        <f t="shared" si="241"/>
        <v>1.0090436099399782</v>
      </c>
      <c r="AY266">
        <f t="shared" si="242"/>
        <v>0.13398489519648568</v>
      </c>
      <c r="AZ266" t="str">
        <f t="shared" si="218"/>
        <v>1+6,26172237174716i</v>
      </c>
      <c r="BA266">
        <f t="shared" si="243"/>
        <v>6.3410698672100176</v>
      </c>
      <c r="BB266">
        <f t="shared" si="244"/>
        <v>1.4124331325799271</v>
      </c>
      <c r="BC266" s="41" t="str">
        <f t="shared" si="245"/>
        <v>-3,44786113455509+1,03770887381323i</v>
      </c>
      <c r="BD266">
        <f t="shared" si="246"/>
        <v>11.127586566219934</v>
      </c>
      <c r="BE266" s="43">
        <f t="shared" si="247"/>
        <v>163.24968832801039</v>
      </c>
      <c r="BF266" s="41" t="str">
        <f t="shared" si="248"/>
        <v>0,210232946070455+2,41357470219981i</v>
      </c>
      <c r="BG266" s="20">
        <f t="shared" si="249"/>
        <v>7.6860412097789883</v>
      </c>
      <c r="BH266" s="43">
        <f t="shared" si="250"/>
        <v>85.021850876770259</v>
      </c>
      <c r="BI266" s="41" t="str">
        <f t="shared" si="255"/>
        <v>0,19031031764444+7,6465595483932i</v>
      </c>
      <c r="BJ266" s="20">
        <f t="shared" si="251"/>
        <v>17.67201081906488</v>
      </c>
      <c r="BK266" s="43">
        <f t="shared" si="256"/>
        <v>88.57429640772223</v>
      </c>
      <c r="BL266">
        <f t="shared" si="252"/>
        <v>7.6860412097789883</v>
      </c>
      <c r="BM266" s="43">
        <f t="shared" si="253"/>
        <v>85.021850876770259</v>
      </c>
    </row>
    <row r="267" spans="14:65" x14ac:dyDescent="0.25">
      <c r="N267" s="9">
        <v>49</v>
      </c>
      <c r="O267" s="34">
        <f t="shared" si="254"/>
        <v>3090.295432513592</v>
      </c>
      <c r="P267" s="33" t="str">
        <f t="shared" si="206"/>
        <v>54,631621870174</v>
      </c>
      <c r="Q267" s="4" t="str">
        <f t="shared" si="207"/>
        <v>1+86,6750978710947i</v>
      </c>
      <c r="R267" s="4">
        <f t="shared" si="219"/>
        <v>86.680866348715313</v>
      </c>
      <c r="S267" s="4">
        <f t="shared" si="220"/>
        <v>1.5592594995164828</v>
      </c>
      <c r="T267" s="4" t="str">
        <f t="shared" si="208"/>
        <v>1+0,293583510708974i</v>
      </c>
      <c r="U267" s="4">
        <f t="shared" si="221"/>
        <v>1.0422050075489977</v>
      </c>
      <c r="V267" s="4">
        <f t="shared" si="222"/>
        <v>0.28555976109391312</v>
      </c>
      <c r="W267" t="str">
        <f t="shared" si="209"/>
        <v>1-0,0772664198294474i</v>
      </c>
      <c r="X267" s="4">
        <f t="shared" si="223"/>
        <v>1.0029806078051859</v>
      </c>
      <c r="Y267" s="4">
        <f t="shared" si="224"/>
        <v>-7.7113205537316709E-2</v>
      </c>
      <c r="Z267" t="str">
        <f t="shared" si="210"/>
        <v>0,999961800296559+0,0106157811504691i</v>
      </c>
      <c r="AA267" s="4">
        <f t="shared" si="225"/>
        <v>1.0000181482662052</v>
      </c>
      <c r="AB267" s="4">
        <f t="shared" si="226"/>
        <v>1.0615787885771446E-2</v>
      </c>
      <c r="AC267" s="47" t="str">
        <f t="shared" si="227"/>
        <v>0,136927477601074-0,644421011195713i</v>
      </c>
      <c r="AD267" s="20">
        <f t="shared" si="228"/>
        <v>-3.6248267886164824</v>
      </c>
      <c r="AE267" s="43">
        <f t="shared" si="229"/>
        <v>-78.004120442604062</v>
      </c>
      <c r="AF267" t="str">
        <f t="shared" si="211"/>
        <v>171,265703090588</v>
      </c>
      <c r="AG267" t="str">
        <f t="shared" si="212"/>
        <v>1+85,8456156731647i</v>
      </c>
      <c r="AH267">
        <f t="shared" si="230"/>
        <v>85.851439884865655</v>
      </c>
      <c r="AI267">
        <f t="shared" si="231"/>
        <v>1.5591480351007523</v>
      </c>
      <c r="AJ267" t="str">
        <f t="shared" si="213"/>
        <v>1+0,293583510708974i</v>
      </c>
      <c r="AK267">
        <f t="shared" si="232"/>
        <v>1.0422050075489977</v>
      </c>
      <c r="AL267">
        <f t="shared" si="233"/>
        <v>0.28555976109391312</v>
      </c>
      <c r="AM267" t="str">
        <f t="shared" si="214"/>
        <v>1-0,0244111312131088i</v>
      </c>
      <c r="AN267">
        <f t="shared" si="234"/>
        <v>1.0002979072891753</v>
      </c>
      <c r="AO267">
        <f t="shared" si="235"/>
        <v>-2.4406284054617446E-2</v>
      </c>
      <c r="AP267" s="41" t="str">
        <f t="shared" si="236"/>
        <v>0,56034091112562-2,00281367551499i</v>
      </c>
      <c r="AQ267">
        <f t="shared" si="237"/>
        <v>6.3601066812598015</v>
      </c>
      <c r="AR267" s="43">
        <f t="shared" si="238"/>
        <v>-74.369610007869909</v>
      </c>
      <c r="AS267" t="str">
        <f t="shared" si="215"/>
        <v>-0,0000166666666666667</v>
      </c>
      <c r="AT267" t="str">
        <f t="shared" si="216"/>
        <v>0,000029766105946882i</v>
      </c>
      <c r="AU267">
        <f t="shared" si="239"/>
        <v>2.9766105946882001E-5</v>
      </c>
      <c r="AV267">
        <f t="shared" si="240"/>
        <v>1.5707963267948966</v>
      </c>
      <c r="AW267" t="str">
        <f t="shared" si="217"/>
        <v>1+0,137932177786265i</v>
      </c>
      <c r="AX267">
        <f t="shared" si="241"/>
        <v>1.0094678229982676</v>
      </c>
      <c r="AY267">
        <f t="shared" si="242"/>
        <v>0.13706729626829739</v>
      </c>
      <c r="AZ267" t="str">
        <f t="shared" si="218"/>
        <v>1+6,40757662261649i</v>
      </c>
      <c r="BA267">
        <f t="shared" si="243"/>
        <v>6.4851397960800607</v>
      </c>
      <c r="BB267">
        <f t="shared" si="244"/>
        <v>1.4159799441855834</v>
      </c>
      <c r="BC267" s="41" t="str">
        <f t="shared" si="245"/>
        <v>-3,44496392404492+1,03509233809914i</v>
      </c>
      <c r="BD267">
        <f t="shared" si="246"/>
        <v>11.119071769333233</v>
      </c>
      <c r="BE267" s="43">
        <f t="shared" si="247"/>
        <v>163.2762970915611</v>
      </c>
      <c r="BF267" s="41" t="str">
        <f t="shared" si="248"/>
        <v>0,195325030652614+2,36173971840589i</v>
      </c>
      <c r="BG267" s="20">
        <f t="shared" si="249"/>
        <v>7.4942449807167408</v>
      </c>
      <c r="BH267" s="43">
        <f t="shared" si="250"/>
        <v>85.272176648957043</v>
      </c>
      <c r="BI267" s="41" t="str">
        <f t="shared" si="255"/>
        <v>0,142742866171521+7,47962544256257i</v>
      </c>
      <c r="BJ267" s="20">
        <f t="shared" si="251"/>
        <v>17.479178450593036</v>
      </c>
      <c r="BK267" s="43">
        <f t="shared" si="256"/>
        <v>88.906687083691196</v>
      </c>
      <c r="BL267">
        <f t="shared" si="252"/>
        <v>7.4942449807167408</v>
      </c>
      <c r="BM267" s="43">
        <f t="shared" si="253"/>
        <v>85.272176648957043</v>
      </c>
    </row>
    <row r="268" spans="14:65" x14ac:dyDescent="0.25">
      <c r="N268" s="9">
        <v>50</v>
      </c>
      <c r="O268" s="34">
        <f t="shared" si="254"/>
        <v>3162.2776601683804</v>
      </c>
      <c r="P268" s="33" t="str">
        <f t="shared" si="206"/>
        <v>54,631621870174</v>
      </c>
      <c r="Q268" s="4" t="str">
        <f t="shared" si="207"/>
        <v>1+88,6940202567396i</v>
      </c>
      <c r="R268" s="4">
        <f t="shared" si="219"/>
        <v>88.699657436220889</v>
      </c>
      <c r="S268" s="4">
        <f t="shared" si="220"/>
        <v>1.5595220872548012</v>
      </c>
      <c r="T268" s="4" t="str">
        <f t="shared" si="208"/>
        <v>1+0,300421949157674i</v>
      </c>
      <c r="U268" s="4">
        <f t="shared" si="221"/>
        <v>1.0441519753061315</v>
      </c>
      <c r="V268" s="4">
        <f t="shared" si="222"/>
        <v>0.29184385882663705</v>
      </c>
      <c r="W268" t="str">
        <f t="shared" si="209"/>
        <v>1-0,0790661859500961i</v>
      </c>
      <c r="X268" s="4">
        <f t="shared" si="223"/>
        <v>1.0031208609936766</v>
      </c>
      <c r="Y268" s="4">
        <f t="shared" si="224"/>
        <v>-7.8902041451441168E-2</v>
      </c>
      <c r="Z268" t="str">
        <f t="shared" si="210"/>
        <v>0,99996+0,0108630544588611i</v>
      </c>
      <c r="AA268" s="4">
        <f t="shared" si="225"/>
        <v>1.0000190035955197</v>
      </c>
      <c r="AB268" s="4">
        <f t="shared" si="226"/>
        <v>1.0863061675703733E-2</v>
      </c>
      <c r="AC268" s="47" t="str">
        <f t="shared" si="227"/>
        <v>0,136593424683201-0,630478859098709i</v>
      </c>
      <c r="AD268" s="20">
        <f t="shared" si="228"/>
        <v>-3.8073825064923019</v>
      </c>
      <c r="AE268" s="43">
        <f t="shared" si="229"/>
        <v>-77.775773826296827</v>
      </c>
      <c r="AF268" t="str">
        <f t="shared" si="211"/>
        <v>171,265703090588</v>
      </c>
      <c r="AG268" t="str">
        <f t="shared" si="212"/>
        <v>1+87,8452169363761i</v>
      </c>
      <c r="AH268">
        <f t="shared" si="230"/>
        <v>87.850908581522248</v>
      </c>
      <c r="AI268">
        <f t="shared" si="231"/>
        <v>1.5594131594201193</v>
      </c>
      <c r="AJ268" t="str">
        <f t="shared" si="213"/>
        <v>1+0,300421949157674i</v>
      </c>
      <c r="AK268">
        <f t="shared" si="232"/>
        <v>1.0441519753061315</v>
      </c>
      <c r="AL268">
        <f t="shared" si="233"/>
        <v>0.29184385882663705</v>
      </c>
      <c r="AM268" t="str">
        <f t="shared" si="214"/>
        <v>1-0,0249797395040202i</v>
      </c>
      <c r="AN268">
        <f t="shared" si="234"/>
        <v>1.0003119450379911</v>
      </c>
      <c r="AO268">
        <f t="shared" si="235"/>
        <v>-2.4974545767594419E-2</v>
      </c>
      <c r="AP268" s="41" t="str">
        <f t="shared" si="236"/>
        <v>0,559298500790689-1,95789443698983i</v>
      </c>
      <c r="AQ268">
        <f t="shared" si="237"/>
        <v>6.1764662722658343</v>
      </c>
      <c r="AR268" s="43">
        <f t="shared" si="238"/>
        <v>-74.057307232095582</v>
      </c>
      <c r="AS268" t="str">
        <f t="shared" si="215"/>
        <v>-0,0000166666666666667</v>
      </c>
      <c r="AT268" t="str">
        <f t="shared" si="216"/>
        <v>0,0000304594476229309i</v>
      </c>
      <c r="AU268">
        <f t="shared" si="239"/>
        <v>3.04594476229309E-5</v>
      </c>
      <c r="AV268">
        <f t="shared" si="240"/>
        <v>1.5707963267948966</v>
      </c>
      <c r="AW268" t="str">
        <f t="shared" si="217"/>
        <v>1+0,141145030938708i</v>
      </c>
      <c r="AX268">
        <f t="shared" si="241"/>
        <v>1.0099118376168728</v>
      </c>
      <c r="AY268">
        <f t="shared" si="242"/>
        <v>0.14021878422524867</v>
      </c>
      <c r="AZ268" t="str">
        <f t="shared" si="218"/>
        <v>1+6,55682825542543i</v>
      </c>
      <c r="BA268">
        <f t="shared" si="243"/>
        <v>6.6326462872028147</v>
      </c>
      <c r="BB268">
        <f t="shared" si="244"/>
        <v>1.4194498188089186</v>
      </c>
      <c r="BC268" s="41" t="str">
        <f t="shared" si="245"/>
        <v>-3,44193538623952+1,03298768110783i</v>
      </c>
      <c r="BD268">
        <f t="shared" si="246"/>
        <v>11.110602020360385</v>
      </c>
      <c r="BE268" s="43">
        <f t="shared" si="247"/>
        <v>163.29453930379808</v>
      </c>
      <c r="BF268" s="41" t="str">
        <f t="shared" si="248"/>
        <v>0,181131152703134+2,31116682042584i</v>
      </c>
      <c r="BG268" s="20">
        <f t="shared" si="249"/>
        <v>7.3032195138680684</v>
      </c>
      <c r="BH268" s="43">
        <f t="shared" si="250"/>
        <v>85.518765477501248</v>
      </c>
      <c r="BI268" s="41" t="str">
        <f t="shared" si="255"/>
        <v>0,0974115329778604+7,31669460657566i</v>
      </c>
      <c r="BJ268" s="20">
        <f t="shared" si="251"/>
        <v>17.287068292626223</v>
      </c>
      <c r="BK268" s="43">
        <f t="shared" si="256"/>
        <v>89.237232071702508</v>
      </c>
      <c r="BL268">
        <f t="shared" si="252"/>
        <v>7.3032195138680684</v>
      </c>
      <c r="BM268" s="43">
        <f t="shared" si="253"/>
        <v>85.518765477501248</v>
      </c>
    </row>
    <row r="269" spans="14:65" x14ac:dyDescent="0.25">
      <c r="N269" s="9">
        <v>51</v>
      </c>
      <c r="O269" s="34">
        <f t="shared" si="254"/>
        <v>3235.9365692962833</v>
      </c>
      <c r="P269" s="33" t="str">
        <f t="shared" si="206"/>
        <v>54,631621870174</v>
      </c>
      <c r="Q269" s="4" t="str">
        <f t="shared" si="207"/>
        <v>1+90,7599693859288i</v>
      </c>
      <c r="R269" s="4">
        <f t="shared" si="219"/>
        <v>90.765478255417861</v>
      </c>
      <c r="S269" s="4">
        <f t="shared" si="220"/>
        <v>1.5597786992688769</v>
      </c>
      <c r="T269" s="4" t="str">
        <f t="shared" si="208"/>
        <v>1+0,307419675300373i</v>
      </c>
      <c r="U269" s="4">
        <f t="shared" si="221"/>
        <v>1.0461868173332078</v>
      </c>
      <c r="V269" s="4">
        <f t="shared" si="222"/>
        <v>0.29824985913020313</v>
      </c>
      <c r="W269" t="str">
        <f t="shared" si="209"/>
        <v>1-0,0809078740091003i</v>
      </c>
      <c r="X269" s="4">
        <f t="shared" si="223"/>
        <v>1.0032677030965726</v>
      </c>
      <c r="Y269" s="4">
        <f t="shared" si="224"/>
        <v>-8.0732020934929774E-2</v>
      </c>
      <c r="Z269" t="str">
        <f t="shared" si="210"/>
        <v>0,999958114858078+0,0111160875025168i</v>
      </c>
      <c r="AA269" s="4">
        <f t="shared" si="225"/>
        <v>1.0000198992379523</v>
      </c>
      <c r="AB269" s="4">
        <f t="shared" si="226"/>
        <v>1.1116095235319153E-2</v>
      </c>
      <c r="AC269" s="47" t="str">
        <f t="shared" si="227"/>
        <v>0,136273700865436-0,616870658818807i</v>
      </c>
      <c r="AD269" s="20">
        <f t="shared" si="228"/>
        <v>-3.9891834701876117</v>
      </c>
      <c r="AE269" s="43">
        <f t="shared" si="229"/>
        <v>-77.542787686762495</v>
      </c>
      <c r="AF269" t="str">
        <f t="shared" si="211"/>
        <v>171,265703090588</v>
      </c>
      <c r="AG269" t="str">
        <f t="shared" si="212"/>
        <v>1+89,8913948963763i</v>
      </c>
      <c r="AH269">
        <f t="shared" si="230"/>
        <v>89.89695699197091</v>
      </c>
      <c r="AI269">
        <f t="shared" si="231"/>
        <v>1.5596722503195757</v>
      </c>
      <c r="AJ269" t="str">
        <f t="shared" si="213"/>
        <v>1+0,307419675300373i</v>
      </c>
      <c r="AK269">
        <f t="shared" si="232"/>
        <v>1.0461868173332078</v>
      </c>
      <c r="AL269">
        <f t="shared" si="233"/>
        <v>0.29824985913020313</v>
      </c>
      <c r="AM269" t="str">
        <f t="shared" si="214"/>
        <v>1-0,0255615923834626i</v>
      </c>
      <c r="AN269">
        <f t="shared" si="234"/>
        <v>1.0003266441543874</v>
      </c>
      <c r="AO269">
        <f t="shared" si="235"/>
        <v>-2.5556027292758632E-2</v>
      </c>
      <c r="AP269" s="41" t="str">
        <f t="shared" si="236"/>
        <v>0,55830299476482-1,91401223170408i</v>
      </c>
      <c r="AQ269">
        <f t="shared" si="237"/>
        <v>5.9935298112791537</v>
      </c>
      <c r="AR269" s="43">
        <f t="shared" si="238"/>
        <v>-73.738431703447574</v>
      </c>
      <c r="AS269" t="str">
        <f t="shared" si="215"/>
        <v>-0,0000166666666666667</v>
      </c>
      <c r="AT269" t="str">
        <f t="shared" si="216"/>
        <v>0,0000311689393012878i</v>
      </c>
      <c r="AU269">
        <f t="shared" si="239"/>
        <v>3.1168939301287802E-5</v>
      </c>
      <c r="AV269">
        <f t="shared" si="240"/>
        <v>1.5707963267948966</v>
      </c>
      <c r="AW269" t="str">
        <f t="shared" si="217"/>
        <v>1+0,14443272105483i</v>
      </c>
      <c r="AX269">
        <f t="shared" si="241"/>
        <v>1.0103765688649466</v>
      </c>
      <c r="AY269">
        <f t="shared" si="242"/>
        <v>0.1434407794950496</v>
      </c>
      <c r="AZ269" t="str">
        <f t="shared" si="218"/>
        <v>1+6,70955640536528i</v>
      </c>
      <c r="BA269">
        <f t="shared" si="243"/>
        <v>6.7836676773540621</v>
      </c>
      <c r="BB269">
        <f t="shared" si="244"/>
        <v>1.4228442618323616</v>
      </c>
      <c r="BC269" s="41" t="str">
        <f t="shared" si="245"/>
        <v>-3,43876981983962+1,03139124930444i</v>
      </c>
      <c r="BD269">
        <f t="shared" si="246"/>
        <v>11.102160490380923</v>
      </c>
      <c r="BE269" s="43">
        <f t="shared" si="247"/>
        <v>163.30441983226834</v>
      </c>
      <c r="BF269" s="41" t="str">
        <f t="shared" si="248"/>
        <v>0,167621109684469+2,26182770687364i</v>
      </c>
      <c r="BG269" s="20">
        <f t="shared" si="249"/>
        <v>7.1129770201933198</v>
      </c>
      <c r="BH269" s="43">
        <f t="shared" si="250"/>
        <v>85.761632145505857</v>
      </c>
      <c r="BI269" s="41" t="str">
        <f t="shared" si="255"/>
        <v>0,0542199781179098+7,15767632044877i</v>
      </c>
      <c r="BJ269" s="20">
        <f t="shared" si="251"/>
        <v>17.095690301660081</v>
      </c>
      <c r="BK269" s="43">
        <f t="shared" si="256"/>
        <v>89.565988128820777</v>
      </c>
      <c r="BL269">
        <f t="shared" si="252"/>
        <v>7.1129770201933198</v>
      </c>
      <c r="BM269" s="43">
        <f t="shared" si="253"/>
        <v>85.761632145505857</v>
      </c>
    </row>
    <row r="270" spans="14:65" x14ac:dyDescent="0.25">
      <c r="N270" s="9">
        <v>52</v>
      </c>
      <c r="O270" s="34">
        <f t="shared" si="254"/>
        <v>3311.3112148259115</v>
      </c>
      <c r="P270" s="33" t="str">
        <f t="shared" si="206"/>
        <v>54,631621870174</v>
      </c>
      <c r="Q270" s="4" t="str">
        <f t="shared" si="207"/>
        <v>1+92,8740406522371i</v>
      </c>
      <c r="R270" s="4">
        <f t="shared" si="219"/>
        <v>92.879424131900109</v>
      </c>
      <c r="S270" s="4">
        <f t="shared" si="220"/>
        <v>1.5600294714825362</v>
      </c>
      <c r="T270" s="4" t="str">
        <f t="shared" si="208"/>
        <v>1+0,314580399424097i</v>
      </c>
      <c r="U270" s="4">
        <f t="shared" si="221"/>
        <v>1.0483133251570469</v>
      </c>
      <c r="V270" s="4">
        <f t="shared" si="222"/>
        <v>0.30477905471830374</v>
      </c>
      <c r="W270" t="str">
        <f t="shared" si="209"/>
        <v>1-0,0827924604938468i</v>
      </c>
      <c r="X270" s="4">
        <f t="shared" si="223"/>
        <v>1.003421442622503</v>
      </c>
      <c r="Y270" s="4">
        <f t="shared" si="224"/>
        <v>-8.2604065213536512E-2</v>
      </c>
      <c r="Z270" t="str">
        <f t="shared" si="210"/>
        <v>0,999956140872154+0,0113750144429052i</v>
      </c>
      <c r="AA270" s="4">
        <f t="shared" si="225"/>
        <v>1.0000208370936614</v>
      </c>
      <c r="AB270" s="4">
        <f t="shared" si="226"/>
        <v>1.1375022728545925E-2</v>
      </c>
      <c r="AC270" s="47" t="str">
        <f>(IMDIV(IMPRODUCT(P270,T270,W270),IMPRODUCT(Q270,Z270)))</f>
        <v>0,135967628467744-0,603589216855181i</v>
      </c>
      <c r="AD270" s="20">
        <f t="shared" si="228"/>
        <v>-4.1701997197425422</v>
      </c>
      <c r="AE270" s="43">
        <f t="shared" si="229"/>
        <v>-77.305156214198306</v>
      </c>
      <c r="AF270" t="str">
        <f t="shared" si="211"/>
        <v>171,265703090588</v>
      </c>
      <c r="AG270" t="str">
        <f t="shared" si="212"/>
        <v>1+91,9852344638041i</v>
      </c>
      <c r="AH270">
        <f t="shared" si="230"/>
        <v>91.990669958213786</v>
      </c>
      <c r="AI270">
        <f t="shared" si="231"/>
        <v>1.5599254450333275</v>
      </c>
      <c r="AJ270" t="str">
        <f t="shared" si="213"/>
        <v>1+0,314580399424097i</v>
      </c>
      <c r="AK270">
        <f t="shared" si="232"/>
        <v>1.0483133251570469</v>
      </c>
      <c r="AL270">
        <f t="shared" si="233"/>
        <v>0.30477905471830374</v>
      </c>
      <c r="AM270" t="str">
        <f t="shared" si="214"/>
        <v>1-0,0261569983575344i</v>
      </c>
      <c r="AN270">
        <f t="shared" si="234"/>
        <v>1.0003420357872981</v>
      </c>
      <c r="AO270">
        <f t="shared" si="235"/>
        <v>-2.6151035365522744E-2</v>
      </c>
      <c r="AP270" s="41" t="str">
        <f t="shared" si="236"/>
        <v>0,557352283051868-1,87114386401909i</v>
      </c>
      <c r="AQ270">
        <f t="shared" si="237"/>
        <v>5.8113249004573921</v>
      </c>
      <c r="AR270" s="43">
        <f t="shared" si="238"/>
        <v>-73.412934792472583</v>
      </c>
      <c r="AS270" t="str">
        <f t="shared" si="215"/>
        <v>-0,0000166666666666667</v>
      </c>
      <c r="AT270" t="str">
        <f t="shared" si="216"/>
        <v>0,000031894957163832i</v>
      </c>
      <c r="AU270">
        <f t="shared" si="239"/>
        <v>3.1894957163832002E-5</v>
      </c>
      <c r="AV270">
        <f t="shared" si="240"/>
        <v>1.5707963267948966</v>
      </c>
      <c r="AW270" t="str">
        <f t="shared" si="217"/>
        <v>1+0,147796991311449i</v>
      </c>
      <c r="AX270">
        <f t="shared" si="241"/>
        <v>1.0108629732266963</v>
      </c>
      <c r="AY270">
        <f t="shared" si="242"/>
        <v>0.14673472269561566</v>
      </c>
      <c r="AZ270" t="str">
        <f t="shared" si="218"/>
        <v>1+6,86584205092276i</v>
      </c>
      <c r="BA270">
        <f t="shared" si="243"/>
        <v>6.9382841587974227</v>
      </c>
      <c r="BB270">
        <f t="shared" si="244"/>
        <v>1.426164759980028</v>
      </c>
      <c r="BC270" s="41" t="str">
        <f t="shared" si="245"/>
        <v>-3,43546129975877+1,03029948944732i</v>
      </c>
      <c r="BD270">
        <f t="shared" si="246"/>
        <v>11.093730395458541</v>
      </c>
      <c r="BE270" s="43">
        <f t="shared" si="247"/>
        <v>163.30594131866241</v>
      </c>
      <c r="BF270" s="41" t="str">
        <f t="shared" si="248"/>
        <v>0,154766136340887+2,21369477364936i</v>
      </c>
      <c r="BG270" s="20">
        <f t="shared" si="249"/>
        <v>6.9235306757160071</v>
      </c>
      <c r="BH270" s="43">
        <f t="shared" si="250"/>
        <v>86.000785104464086</v>
      </c>
      <c r="BI270" s="41" t="str">
        <f t="shared" si="255"/>
        <v>0,0130763690244657+7,00248210378931i</v>
      </c>
      <c r="BJ270" s="20">
        <f t="shared" si="251"/>
        <v>16.905055295915936</v>
      </c>
      <c r="BK270" s="43">
        <f t="shared" si="256"/>
        <v>89.893006526189794</v>
      </c>
      <c r="BL270">
        <f t="shared" si="252"/>
        <v>6.9235306757160071</v>
      </c>
      <c r="BM270" s="43">
        <f t="shared" si="253"/>
        <v>86.000785104464086</v>
      </c>
    </row>
    <row r="271" spans="14:65" x14ac:dyDescent="0.25">
      <c r="N271" s="9">
        <v>53</v>
      </c>
      <c r="O271" s="34">
        <f t="shared" si="254"/>
        <v>3388.4415613920314</v>
      </c>
      <c r="P271" s="33" t="str">
        <f t="shared" si="206"/>
        <v>54,631621870174</v>
      </c>
      <c r="Q271" s="4" t="str">
        <f t="shared" si="207"/>
        <v>1+95,0373549642322i</v>
      </c>
      <c r="R271" s="4">
        <f t="shared" si="219"/>
        <v>95.042615907799316</v>
      </c>
      <c r="S271" s="4">
        <f t="shared" si="220"/>
        <v>1.5602745367322917</v>
      </c>
      <c r="T271" s="4" t="str">
        <f t="shared" si="208"/>
        <v>1+0,32190791823956i</v>
      </c>
      <c r="U271" s="4">
        <f t="shared" si="221"/>
        <v>1.0505354386337127</v>
      </c>
      <c r="V271" s="4">
        <f t="shared" si="222"/>
        <v>0.31143267991506651</v>
      </c>
      <c r="W271" t="str">
        <f t="shared" si="209"/>
        <v>1-0,0847209446370347i</v>
      </c>
      <c r="X271" s="4">
        <f t="shared" si="223"/>
        <v>1.003582402426523</v>
      </c>
      <c r="Y271" s="4">
        <f t="shared" si="224"/>
        <v>-8.4519114355305375E-2</v>
      </c>
      <c r="Z271" t="str">
        <f t="shared" si="210"/>
        <v>0,99995407385514+0,0116399725665172i</v>
      </c>
      <c r="AA271" s="4">
        <f t="shared" si="225"/>
        <v>1.0000218191523822</v>
      </c>
      <c r="AB271" s="4">
        <f t="shared" si="226"/>
        <v>1.163998144450974E-2</v>
      </c>
      <c r="AC271" s="47" t="str">
        <f t="shared" si="227"/>
        <v>0,135674558723566-0,59062751145744i</v>
      </c>
      <c r="AD271" s="20">
        <f t="shared" si="228"/>
        <v>-4.3504003657741848</v>
      </c>
      <c r="AE271" s="43">
        <f t="shared" si="229"/>
        <v>-77.062878026031612</v>
      </c>
      <c r="AF271" t="str">
        <f t="shared" si="211"/>
        <v>171,265703090588</v>
      </c>
      <c r="AG271" t="str">
        <f t="shared" si="212"/>
        <v>1+94,1278458201129i</v>
      </c>
      <c r="AH271">
        <f t="shared" si="230"/>
        <v>94.133157594627335</v>
      </c>
      <c r="AI271">
        <f t="shared" si="231"/>
        <v>1.5601728776786354</v>
      </c>
      <c r="AJ271" t="str">
        <f t="shared" si="213"/>
        <v>1+0,32190791823956i</v>
      </c>
      <c r="AK271">
        <f t="shared" si="232"/>
        <v>1.0505354386337127</v>
      </c>
      <c r="AL271">
        <f t="shared" si="233"/>
        <v>0.31143267991506651</v>
      </c>
      <c r="AM271" t="str">
        <f t="shared" si="214"/>
        <v>1-0,0267662731183642i</v>
      </c>
      <c r="AN271">
        <f t="shared" si="234"/>
        <v>1.0003581525516982</v>
      </c>
      <c r="AO271">
        <f t="shared" si="235"/>
        <v>-2.6759883780850046E-2</v>
      </c>
      <c r="AP271" s="41" t="str">
        <f t="shared" si="236"/>
        <v>0,55644435052919-1,82926667109009i</v>
      </c>
      <c r="AQ271">
        <f t="shared" si="237"/>
        <v>5.6298799634636785</v>
      </c>
      <c r="AR271" s="43">
        <f t="shared" si="238"/>
        <v>-73.080771441087592</v>
      </c>
      <c r="AS271" t="str">
        <f t="shared" si="215"/>
        <v>-0,0000166666666666667</v>
      </c>
      <c r="AT271" t="str">
        <f t="shared" si="216"/>
        <v>0,0000326378861548442i</v>
      </c>
      <c r="AU271">
        <f t="shared" si="239"/>
        <v>3.2637886154844199E-5</v>
      </c>
      <c r="AV271">
        <f t="shared" si="240"/>
        <v>1.5707963267948966</v>
      </c>
      <c r="AW271" t="str">
        <f t="shared" si="217"/>
        <v>1+0,151239625489185i</v>
      </c>
      <c r="AX271">
        <f t="shared" si="241"/>
        <v>1.0113720503939729</v>
      </c>
      <c r="AY271">
        <f t="shared" si="242"/>
        <v>0.15010207425459762</v>
      </c>
      <c r="AZ271" t="str">
        <f t="shared" si="218"/>
        <v>1+7,02576805681578i</v>
      </c>
      <c r="BA271">
        <f t="shared" si="243"/>
        <v>7.0965778223149911</v>
      </c>
      <c r="BB271">
        <f t="shared" si="244"/>
        <v>1.4294127807851404</v>
      </c>
      <c r="BC271" s="41" t="str">
        <f t="shared" si="245"/>
        <v>-3,43200367059986+1,029708936036i</v>
      </c>
      <c r="BD271">
        <f t="shared" si="246"/>
        <v>11.085294969899099</v>
      </c>
      <c r="BE271" s="43">
        <f t="shared" si="247"/>
        <v>163.29910417009953</v>
      </c>
      <c r="BF271" s="41" t="str">
        <f t="shared" si="248"/>
        <v>0,142538842870136+2,16674109278959i</v>
      </c>
      <c r="BG271" s="20">
        <f t="shared" si="249"/>
        <v>6.7348946041249045</v>
      </c>
      <c r="BH271" s="43">
        <f t="shared" si="250"/>
        <v>86.236226144067913</v>
      </c>
      <c r="BI271" s="41" t="str">
        <f t="shared" si="255"/>
        <v>-0,0261068158864428+6,85102564983383i</v>
      </c>
      <c r="BJ271" s="20">
        <f t="shared" si="251"/>
        <v>16.715174933362778</v>
      </c>
      <c r="BK271" s="43">
        <f t="shared" si="256"/>
        <v>90.218332729011919</v>
      </c>
      <c r="BL271">
        <f t="shared" si="252"/>
        <v>6.7348946041249045</v>
      </c>
      <c r="BM271" s="43">
        <f t="shared" si="253"/>
        <v>86.236226144067913</v>
      </c>
    </row>
    <row r="272" spans="14:65" x14ac:dyDescent="0.25">
      <c r="N272" s="9">
        <v>54</v>
      </c>
      <c r="O272" s="34">
        <f t="shared" si="254"/>
        <v>3467.3685045253224</v>
      </c>
      <c r="P272" s="33" t="str">
        <f t="shared" si="206"/>
        <v>54,631621870174</v>
      </c>
      <c r="Q272" s="4" t="str">
        <f t="shared" si="207"/>
        <v>1+97,2510593397973i</v>
      </c>
      <c r="R272" s="4">
        <f t="shared" si="219"/>
        <v>97.25620053607264</v>
      </c>
      <c r="S272" s="4">
        <f t="shared" si="220"/>
        <v>1.5605140248371718</v>
      </c>
      <c r="T272" s="4" t="str">
        <f t="shared" si="208"/>
        <v>1+0,329406116894227i</v>
      </c>
      <c r="U272" s="4">
        <f t="shared" si="221"/>
        <v>1.0528572504605422</v>
      </c>
      <c r="V272" s="4">
        <f t="shared" si="222"/>
        <v>0.31821190524214515</v>
      </c>
      <c r="W272" t="str">
        <f t="shared" si="209"/>
        <v>1-0,0866943489464833i</v>
      </c>
      <c r="X272" s="4">
        <f t="shared" si="223"/>
        <v>1.0037509203678243</v>
      </c>
      <c r="Y272" s="4">
        <f t="shared" si="224"/>
        <v>-8.6478127527179927E-2</v>
      </c>
      <c r="Z272" t="str">
        <f t="shared" si="210"/>
        <v>0,999951909422615+0,0119111023576573i</v>
      </c>
      <c r="AA272" s="4">
        <f t="shared" si="225"/>
        <v>1.00002284749765</v>
      </c>
      <c r="AB272" s="4">
        <f t="shared" si="226"/>
        <v>1.191111187033801E-2</v>
      </c>
      <c r="AC272" s="47" t="str">
        <f t="shared" si="227"/>
        <v>0,135393870407542-0,577978688999121i</v>
      </c>
      <c r="AD272" s="20">
        <f t="shared" si="228"/>
        <v>-4.5297535819501054</v>
      </c>
      <c r="AE272" s="43">
        <f t="shared" si="229"/>
        <v>-76.815956499931502</v>
      </c>
      <c r="AF272" t="str">
        <f t="shared" si="211"/>
        <v>171,265703090588</v>
      </c>
      <c r="AG272" t="str">
        <f t="shared" si="212"/>
        <v>1+96,3203650062048i</v>
      </c>
      <c r="AH272">
        <f t="shared" si="230"/>
        <v>96.325555876561239</v>
      </c>
      <c r="AI272">
        <f t="shared" si="231"/>
        <v>1.5604146793263052</v>
      </c>
      <c r="AJ272" t="str">
        <f t="shared" si="213"/>
        <v>1+0,329406116894227i</v>
      </c>
      <c r="AK272">
        <f t="shared" si="232"/>
        <v>1.0528572504605422</v>
      </c>
      <c r="AL272">
        <f t="shared" si="233"/>
        <v>0.31821190524214515</v>
      </c>
      <c r="AM272" t="str">
        <f t="shared" si="214"/>
        <v>1-0,0273897397114948i</v>
      </c>
      <c r="AN272">
        <f t="shared" si="234"/>
        <v>1.0003750285975073</v>
      </c>
      <c r="AO272">
        <f t="shared" si="235"/>
        <v>-2.7382893551612046E-2</v>
      </c>
      <c r="AP272" s="41" t="str">
        <f t="shared" si="236"/>
        <v>0,555577272685719-1,78835851116729i</v>
      </c>
      <c r="AQ272">
        <f t="shared" si="237"/>
        <v>5.4492242482246533</v>
      </c>
      <c r="AR272" s="43">
        <f t="shared" si="238"/>
        <v>-72.741900485828552</v>
      </c>
      <c r="AS272" t="str">
        <f t="shared" si="215"/>
        <v>-0,0000166666666666667</v>
      </c>
      <c r="AT272" t="str">
        <f t="shared" si="216"/>
        <v>0,0000333981201851091i</v>
      </c>
      <c r="AU272">
        <f t="shared" si="239"/>
        <v>3.3398120185109099E-5</v>
      </c>
      <c r="AV272">
        <f t="shared" si="240"/>
        <v>1.5707963267948966</v>
      </c>
      <c r="AW272" t="str">
        <f t="shared" si="217"/>
        <v>1+0,154762448918249i</v>
      </c>
      <c r="AX272">
        <f t="shared" si="241"/>
        <v>1.0119048451288162</v>
      </c>
      <c r="AY272">
        <f t="shared" si="242"/>
        <v>0.15354431396749368</v>
      </c>
      <c r="AZ272" t="str">
        <f t="shared" si="218"/>
        <v>1+7,18941921792956i</v>
      </c>
      <c r="BA272">
        <f t="shared" si="243"/>
        <v>7.2586327012141121</v>
      </c>
      <c r="BB272">
        <f t="shared" si="244"/>
        <v>1.4325897721247314</v>
      </c>
      <c r="BC272" s="41" t="str">
        <f t="shared" si="245"/>
        <v>-3,42839054016866+1,02961619820533i</v>
      </c>
      <c r="BD272">
        <f t="shared" si="246"/>
        <v>11.076837439503645</v>
      </c>
      <c r="BE272" s="43">
        <f t="shared" si="247"/>
        <v>163.28390655778654</v>
      </c>
      <c r="BF272" s="41" t="str">
        <f t="shared" si="248"/>
        <v>0,130913155908937+2,12094039189299i</v>
      </c>
      <c r="BG272" s="20">
        <f t="shared" si="249"/>
        <v>6.5470838575535435</v>
      </c>
      <c r="BH272" s="43">
        <f t="shared" si="250"/>
        <v>86.467950057855063</v>
      </c>
      <c r="BI272" s="41" t="str">
        <f t="shared" si="255"/>
        <v>-0,0634129747122139+6,703222761428i</v>
      </c>
      <c r="BJ272" s="20">
        <f t="shared" si="251"/>
        <v>16.526061687728294</v>
      </c>
      <c r="BK272" s="43">
        <f t="shared" si="256"/>
        <v>90.542006071957999</v>
      </c>
      <c r="BL272">
        <f t="shared" si="252"/>
        <v>6.5470838575535435</v>
      </c>
      <c r="BM272" s="43">
        <f t="shared" si="253"/>
        <v>86.467950057855063</v>
      </c>
    </row>
    <row r="273" spans="14:65" x14ac:dyDescent="0.25">
      <c r="N273" s="9">
        <v>55</v>
      </c>
      <c r="O273" s="34">
        <f t="shared" si="254"/>
        <v>3548.1338923357539</v>
      </c>
      <c r="P273" s="33" t="str">
        <f t="shared" si="206"/>
        <v>54,631621870174</v>
      </c>
      <c r="Q273" s="4" t="str">
        <f t="shared" si="207"/>
        <v>1+99,5163275142939i</v>
      </c>
      <c r="R273" s="4">
        <f t="shared" si="219"/>
        <v>99.521351688631171</v>
      </c>
      <c r="S273" s="4">
        <f t="shared" si="220"/>
        <v>1.560748062666991</v>
      </c>
      <c r="T273" s="4" t="str">
        <f t="shared" si="208"/>
        <v>1+0,337078971032276i</v>
      </c>
      <c r="U273" s="4">
        <f t="shared" si="221"/>
        <v>1.0552830107190099</v>
      </c>
      <c r="V273" s="4">
        <f t="shared" si="222"/>
        <v>0.32511783180428261</v>
      </c>
      <c r="W273" t="str">
        <f t="shared" si="209"/>
        <v>1-0,0887137197472783i</v>
      </c>
      <c r="X273" s="4">
        <f t="shared" si="223"/>
        <v>1.003927349996701</v>
      </c>
      <c r="Y273" s="4">
        <f t="shared" si="224"/>
        <v>-8.8482083245125909E-2</v>
      </c>
      <c r="Z273" t="str">
        <f t="shared" si="210"/>
        <v>0,999949642983528+0,0121885475729294i</v>
      </c>
      <c r="AA273" s="4">
        <f t="shared" si="225"/>
        <v>1.000023924311225</v>
      </c>
      <c r="AB273" s="4">
        <f t="shared" si="226"/>
        <v>1.2188557765659047E-2</v>
      </c>
      <c r="AC273" s="47" t="str">
        <f t="shared" si="227"/>
        <v>0,135124968521337-0,565636060433672i</v>
      </c>
      <c r="AD273" s="20">
        <f t="shared" si="228"/>
        <v>-4.7082265994592269</v>
      </c>
      <c r="AE273" s="43">
        <f t="shared" si="229"/>
        <v>-76.564400118003391</v>
      </c>
      <c r="AF273" t="str">
        <f t="shared" si="211"/>
        <v>171,265703090588</v>
      </c>
      <c r="AG273" t="str">
        <f t="shared" si="212"/>
        <v>1+98,5639545247733i</v>
      </c>
      <c r="AH273">
        <f t="shared" si="230"/>
        <v>98.569027242646442</v>
      </c>
      <c r="AI273">
        <f t="shared" si="231"/>
        <v>1.5606509780696045</v>
      </c>
      <c r="AJ273" t="str">
        <f t="shared" si="213"/>
        <v>1+0,337078971032276i</v>
      </c>
      <c r="AK273">
        <f t="shared" si="232"/>
        <v>1.0552830107190099</v>
      </c>
      <c r="AL273">
        <f t="shared" si="233"/>
        <v>0.32511783180428261</v>
      </c>
      <c r="AM273" t="str">
        <f t="shared" si="214"/>
        <v>1-0,0280277287071664i</v>
      </c>
      <c r="AN273">
        <f t="shared" si="234"/>
        <v>1.0003926996817212</v>
      </c>
      <c r="AO273">
        <f t="shared" si="235"/>
        <v>-2.8020393070202095E-2</v>
      </c>
      <c r="AP273" s="41" t="str">
        <f t="shared" si="236"/>
        <v>0,554749211551154-1,74839775215219i</v>
      </c>
      <c r="AQ273">
        <f t="shared" si="237"/>
        <v>5.2693878274953674</v>
      </c>
      <c r="AR273" s="43">
        <f t="shared" si="238"/>
        <v>-72.396284992743034</v>
      </c>
      <c r="AS273" t="str">
        <f t="shared" si="215"/>
        <v>-0,0000166666666666667</v>
      </c>
      <c r="AT273" t="str">
        <f t="shared" si="216"/>
        <v>0,0000341760623407725i</v>
      </c>
      <c r="AU273">
        <f t="shared" si="239"/>
        <v>3.4176062340772497E-5</v>
      </c>
      <c r="AV273">
        <f t="shared" si="240"/>
        <v>1.5707963267948966</v>
      </c>
      <c r="AW273" t="str">
        <f t="shared" si="217"/>
        <v>1+0,158367329446251i</v>
      </c>
      <c r="AX273">
        <f t="shared" si="241"/>
        <v>1.0124624491979628</v>
      </c>
      <c r="AY273">
        <f t="shared" si="242"/>
        <v>0.15706294049007177</v>
      </c>
      <c r="AZ273" t="str">
        <f t="shared" si="218"/>
        <v>1+7,35688230427587i</v>
      </c>
      <c r="BA273">
        <f t="shared" si="243"/>
        <v>7.4245348163347868</v>
      </c>
      <c r="BB273">
        <f t="shared" si="244"/>
        <v>1.4356971618172891</v>
      </c>
      <c r="BC273" s="41" t="str">
        <f t="shared" si="245"/>
        <v>-3,42461527305371+1,03001794603385i</v>
      </c>
      <c r="BD273">
        <f t="shared" si="246"/>
        <v>11.068340994823702</v>
      </c>
      <c r="BE273" s="43">
        <f t="shared" si="247"/>
        <v>163.26034442304604</v>
      </c>
      <c r="BF273" s="41" t="str">
        <f t="shared" si="248"/>
        <v>0,119864262201497+2,07626703408532i</v>
      </c>
      <c r="BG273" s="20">
        <f t="shared" si="249"/>
        <v>6.360114395364473</v>
      </c>
      <c r="BH273" s="43">
        <f t="shared" si="250"/>
        <v>86.695944305042673</v>
      </c>
      <c r="BI273" s="41" t="str">
        <f t="shared" si="255"/>
        <v>-0,098921561070586+6,55899128883898i</v>
      </c>
      <c r="BJ273" s="20">
        <f t="shared" si="251"/>
        <v>16.337728822319065</v>
      </c>
      <c r="BK273" s="43">
        <f t="shared" si="256"/>
        <v>90.864059430303001</v>
      </c>
      <c r="BL273">
        <f t="shared" si="252"/>
        <v>6.360114395364473</v>
      </c>
      <c r="BM273" s="43">
        <f t="shared" si="253"/>
        <v>86.695944305042673</v>
      </c>
    </row>
    <row r="274" spans="14:65" x14ac:dyDescent="0.25">
      <c r="N274" s="9">
        <v>56</v>
      </c>
      <c r="O274" s="34">
        <f t="shared" si="254"/>
        <v>3630.7805477010188</v>
      </c>
      <c r="P274" s="33" t="str">
        <f t="shared" si="206"/>
        <v>54,631621870174</v>
      </c>
      <c r="Q274" s="4" t="str">
        <f t="shared" si="207"/>
        <v>1+101,834360562894i</v>
      </c>
      <c r="R274" s="4">
        <f t="shared" si="219"/>
        <v>101.83927037863882</v>
      </c>
      <c r="S274" s="4">
        <f t="shared" si="220"/>
        <v>1.5609767742090928</v>
      </c>
      <c r="T274" s="4" t="str">
        <f t="shared" si="208"/>
        <v>1+0,344930548902537i</v>
      </c>
      <c r="U274" s="4">
        <f t="shared" si="221"/>
        <v>1.0578171314391753</v>
      </c>
      <c r="V274" s="4">
        <f t="shared" si="222"/>
        <v>0.33215148548040824</v>
      </c>
      <c r="W274" t="str">
        <f t="shared" si="209"/>
        <v>1-0,090780127736549i</v>
      </c>
      <c r="X274" s="4">
        <f t="shared" si="223"/>
        <v>1.0041120612719798</v>
      </c>
      <c r="Y274" s="4">
        <f t="shared" si="224"/>
        <v>-9.053197961679825E-2</v>
      </c>
      <c r="Z274" t="str">
        <f t="shared" si="210"/>
        <v>0,999947269730458+0,0124724553174593i</v>
      </c>
      <c r="AA274" s="4">
        <f t="shared" si="225"/>
        <v>1.0000250518777236</v>
      </c>
      <c r="AB274" s="4">
        <f t="shared" si="226"/>
        <v>1.2472466238838954E-2</v>
      </c>
      <c r="AC274" s="47" t="str">
        <f t="shared" si="227"/>
        <v>0,134867283034785-0,553593097831398i</v>
      </c>
      <c r="AD274" s="20">
        <f t="shared" si="228"/>
        <v>-4.8857857036679322</v>
      </c>
      <c r="AE274" s="43">
        <f t="shared" si="229"/>
        <v>-76.308222821710288</v>
      </c>
      <c r="AF274" t="str">
        <f t="shared" si="211"/>
        <v>171,265703090588</v>
      </c>
      <c r="AG274" t="str">
        <f t="shared" si="212"/>
        <v>1+100,85980395668i</v>
      </c>
      <c r="AH274">
        <f t="shared" si="230"/>
        <v>100.86476121113817</v>
      </c>
      <c r="AI274">
        <f t="shared" si="231"/>
        <v>1.5608818990916409</v>
      </c>
      <c r="AJ274" t="str">
        <f t="shared" si="213"/>
        <v>1+0,344930548902537i</v>
      </c>
      <c r="AK274">
        <f t="shared" si="232"/>
        <v>1.0578171314391753</v>
      </c>
      <c r="AL274">
        <f t="shared" si="233"/>
        <v>0.33215148548040824</v>
      </c>
      <c r="AM274" t="str">
        <f t="shared" si="214"/>
        <v>1-0,0286805783755896i</v>
      </c>
      <c r="AN274">
        <f t="shared" si="234"/>
        <v>1.0004112032439252</v>
      </c>
      <c r="AO274">
        <f t="shared" si="235"/>
        <v>-2.8672718273449849E-2</v>
      </c>
      <c r="AP274" s="41" t="str">
        <f t="shared" si="236"/>
        <v>0,553958411807711-1,70936326040417i</v>
      </c>
      <c r="AQ274">
        <f t="shared" si="237"/>
        <v>5.0904015970366254</v>
      </c>
      <c r="AR274" s="43">
        <f t="shared" si="238"/>
        <v>-72.043892603523915</v>
      </c>
      <c r="AS274" t="str">
        <f t="shared" si="215"/>
        <v>-0,0000166666666666667</v>
      </c>
      <c r="AT274" t="str">
        <f t="shared" si="216"/>
        <v>0,0000349721250970627i</v>
      </c>
      <c r="AU274">
        <f t="shared" si="239"/>
        <v>3.4972125097062703E-5</v>
      </c>
      <c r="AV274">
        <f t="shared" si="240"/>
        <v>1.5707963267948966</v>
      </c>
      <c r="AW274" t="str">
        <f t="shared" si="217"/>
        <v>1+0,162056178428567i</v>
      </c>
      <c r="AX274">
        <f t="shared" si="241"/>
        <v>1.0130460033813229</v>
      </c>
      <c r="AY274">
        <f t="shared" si="242"/>
        <v>0.16065947076067491</v>
      </c>
      <c r="AZ274" t="str">
        <f t="shared" si="218"/>
        <v>1+7,52824610699981i</v>
      </c>
      <c r="BA274">
        <f t="shared" si="243"/>
        <v>7.594372222083785</v>
      </c>
      <c r="BB274">
        <f t="shared" si="244"/>
        <v>1.4387363572792342</v>
      </c>
      <c r="BC274" s="41" t="str">
        <f t="shared" si="245"/>
        <v>-3,42067098430476+1,03091089623402i</v>
      </c>
      <c r="BD274">
        <f t="shared" si="246"/>
        <v>11.059788764425249</v>
      </c>
      <c r="BE274" s="43">
        <f t="shared" si="247"/>
        <v>163.2284114907342</v>
      </c>
      <c r="BF274" s="41" t="str">
        <f t="shared" si="248"/>
        <v>0,109368554825227+2,03269599848929i</v>
      </c>
      <c r="BG274" s="20">
        <f t="shared" si="249"/>
        <v>6.1740030607573315</v>
      </c>
      <c r="BH274" s="43">
        <f t="shared" si="250"/>
        <v>86.920188669023929</v>
      </c>
      <c r="BI274" s="41" t="str">
        <f t="shared" si="255"/>
        <v>-0,132708255009415+6,41825106929419i</v>
      </c>
      <c r="BJ274" s="20">
        <f t="shared" si="251"/>
        <v>16.150190361461878</v>
      </c>
      <c r="BK274" s="43">
        <f t="shared" si="256"/>
        <v>91.184518887210288</v>
      </c>
      <c r="BL274">
        <f t="shared" si="252"/>
        <v>6.1740030607573315</v>
      </c>
      <c r="BM274" s="43">
        <f t="shared" si="253"/>
        <v>86.920188669023929</v>
      </c>
    </row>
    <row r="275" spans="14:65" x14ac:dyDescent="0.25">
      <c r="N275" s="9">
        <v>57</v>
      </c>
      <c r="O275" s="34">
        <f t="shared" si="254"/>
        <v>3715.352290971724</v>
      </c>
      <c r="P275" s="33" t="str">
        <f t="shared" ref="P275:P338" si="257">COMPLEX(Adc,0)</f>
        <v>54,631621870174</v>
      </c>
      <c r="Q275" s="4" t="str">
        <f t="shared" ref="Q275:Q338" si="258">IMSUM(COMPLEX(1,0),IMDIV(COMPLEX(0,2*PI()*O275),COMPLEX(wp_lf,0)))</f>
        <v>1+104,206387537401i</v>
      </c>
      <c r="R275" s="4">
        <f t="shared" si="219"/>
        <v>104.21118559730046</v>
      </c>
      <c r="S275" s="4">
        <f t="shared" si="220"/>
        <v>1.5612002806335994</v>
      </c>
      <c r="T275" s="4" t="str">
        <f t="shared" ref="T275:T338" si="259">IMSUM(COMPLEX(1,0),IMDIV(COMPLEX(0,2*PI()*O275),COMPLEX(wz_esr,0)))</f>
        <v>1+0,35296501351552i</v>
      </c>
      <c r="U275" s="4">
        <f t="shared" si="221"/>
        <v>1.0604641911757375</v>
      </c>
      <c r="V275" s="4">
        <f t="shared" si="222"/>
        <v>0.33931381092926804</v>
      </c>
      <c r="W275" t="str">
        <f t="shared" ref="W275:W338" si="260">IMSUB(COMPLEX(1,0),IMDIV(COMPLEX(0,2*PI()*O275),COMPLEX(wz_rhp,0)))</f>
        <v>1-0,0928946685511623i</v>
      </c>
      <c r="X275" s="4">
        <f t="shared" si="223"/>
        <v>1.0043054413101775</v>
      </c>
      <c r="Y275" s="4">
        <f t="shared" si="224"/>
        <v>-9.2628834575696928E-2</v>
      </c>
      <c r="Z275" t="str">
        <f t="shared" ref="Z275:Z338" si="261">IMSUM(COMPLEX(1,0),IMDIV(COMPLEX(0,2*PI()*O275),COMPLEX(Q*(wsl/2),0)),IMDIV(IMPOWER(COMPLEX(0,2*PI()*O275),2),IMPOWER(COMPLEX(wsl/2,0),2)))</f>
        <v>0,999944784629416+0,0127629761228909i</v>
      </c>
      <c r="AA275" s="4">
        <f t="shared" si="225"/>
        <v>1.0000262325894671</v>
      </c>
      <c r="AB275" s="4">
        <f t="shared" si="226"/>
        <v>1.2762987824993218E-2</v>
      </c>
      <c r="AC275" s="47" t="str">
        <f t="shared" si="227"/>
        <v>0,134620267679718-0,541843430996001i</v>
      </c>
      <c r="AD275" s="20">
        <f t="shared" si="228"/>
        <v>-5.0623962331519134</v>
      </c>
      <c r="AE275" s="43">
        <f t="shared" si="229"/>
        <v>-76.047444376949798</v>
      </c>
      <c r="AF275" t="str">
        <f t="shared" ref="AF275:AF338" si="262">COMPLEX($B$72,0)</f>
        <v>171,265703090588</v>
      </c>
      <c r="AG275" t="str">
        <f t="shared" ref="AG275:AG338" si="263">IMSUM(COMPLEX(1,0),IMDIV(COMPLEX(0,2*PI()*O275),COMPLEX(wp_lf_DCM,0)))</f>
        <v>1+103,209130591681i</v>
      </c>
      <c r="AH275">
        <f t="shared" si="230"/>
        <v>103.21397501060922</v>
      </c>
      <c r="AI275">
        <f t="shared" si="231"/>
        <v>1.5611075647312296</v>
      </c>
      <c r="AJ275" t="str">
        <f t="shared" ref="AJ275:AJ338" si="264">IMSUM(COMPLEX(1,0),IMDIV(COMPLEX(0,2*PI()*O275),COMPLEX(wz1_dcm,0)))</f>
        <v>1+0,35296501351552i</v>
      </c>
      <c r="AK275">
        <f t="shared" si="232"/>
        <v>1.0604641911757375</v>
      </c>
      <c r="AL275">
        <f t="shared" si="233"/>
        <v>0.33931381092926804</v>
      </c>
      <c r="AM275" t="str">
        <f t="shared" ref="AM275:AM338" si="265">IMSUB(COMPLEX(1,0),IMDIV(COMPLEX(0,2*PI()*O275),COMPLEX(wz2_dcm,0)))</f>
        <v>1-0,0293486348662998i</v>
      </c>
      <c r="AN275">
        <f t="shared" si="234"/>
        <v>1.0004305784853416</v>
      </c>
      <c r="AO275">
        <f t="shared" si="235"/>
        <v>-2.9340212810879281E-2</v>
      </c>
      <c r="AP275" s="41" t="str">
        <f t="shared" si="236"/>
        <v>0,553203197076288-1,67123438979331i</v>
      </c>
      <c r="AQ275">
        <f t="shared" si="237"/>
        <v>4.9122972712092396</v>
      </c>
      <c r="AR275" s="43">
        <f t="shared" si="238"/>
        <v>-71.684695892377491</v>
      </c>
      <c r="AS275" t="str">
        <f t="shared" ref="AS275:AS338" si="266">COMPLEX(Adc_ea,0)</f>
        <v>-0,0000166666666666667</v>
      </c>
      <c r="AT275" t="str">
        <f t="shared" ref="AT275:AT338" si="267">COMPLEX(0,2*PI()*O275*wp0_ea)</f>
        <v>0,0000357867305369901i</v>
      </c>
      <c r="AU275">
        <f t="shared" si="239"/>
        <v>3.5786730536990099E-5</v>
      </c>
      <c r="AV275">
        <f t="shared" si="240"/>
        <v>1.5707963267948966</v>
      </c>
      <c r="AW275" t="str">
        <f t="shared" ref="AW275:AW338" si="268">IMSUM(COMPLEX(1,0),IMDIV(COMPLEX(0,2*PI()*O275),COMPLEX(wp1_ea,0)))</f>
        <v>1+0,165830951741752i</v>
      </c>
      <c r="AX275">
        <f t="shared" si="241"/>
        <v>1.0136566995564007</v>
      </c>
      <c r="AY275">
        <f t="shared" si="242"/>
        <v>0.16433543934771858</v>
      </c>
      <c r="AZ275" t="str">
        <f t="shared" ref="AZ275:AZ338" si="269">IMSUM(COMPLEX(1,0),IMDIV(COMPLEX(0,2*PI()*O275),COMPLEX(wz_ea,0)))</f>
        <v>1+7,70360148545777i</v>
      </c>
      <c r="BA275">
        <f t="shared" si="243"/>
        <v>7.7682350535206615</v>
      </c>
      <c r="BB275">
        <f t="shared" si="244"/>
        <v>1.4417087452362745</v>
      </c>
      <c r="BC275" s="41" t="str">
        <f t="shared" si="245"/>
        <v>-3,41655053324526+1,03229179719203i</v>
      </c>
      <c r="BD275">
        <f t="shared" si="246"/>
        <v>11.051163788168115</v>
      </c>
      <c r="BE275" s="43">
        <f t="shared" si="247"/>
        <v>163.18809929008773</v>
      </c>
      <c r="BF275" s="41" t="str">
        <f t="shared" si="248"/>
        <v>0,0994035818527974+1,9902028611664i</v>
      </c>
      <c r="BG275" s="20">
        <f t="shared" si="249"/>
        <v>5.9887675550162172</v>
      </c>
      <c r="BH275" s="43">
        <f t="shared" si="250"/>
        <v>87.140654913137965</v>
      </c>
      <c r="BI275" s="41" t="str">
        <f t="shared" si="255"/>
        <v>-0,164845126195113+6,28092386814841i</v>
      </c>
      <c r="BJ275" s="20">
        <f t="shared" si="251"/>
        <v>15.963461059377359</v>
      </c>
      <c r="BK275" s="43">
        <f t="shared" si="256"/>
        <v>91.503403397710272</v>
      </c>
      <c r="BL275">
        <f t="shared" si="252"/>
        <v>5.9887675550162172</v>
      </c>
      <c r="BM275" s="43">
        <f t="shared" si="253"/>
        <v>87.140654913137965</v>
      </c>
    </row>
    <row r="276" spans="14:65" x14ac:dyDescent="0.25">
      <c r="N276" s="9">
        <v>58</v>
      </c>
      <c r="O276" s="34">
        <f t="shared" si="254"/>
        <v>3801.8939632056172</v>
      </c>
      <c r="P276" s="33" t="str">
        <f t="shared" si="257"/>
        <v>54,631621870174</v>
      </c>
      <c r="Q276" s="4" t="str">
        <f t="shared" si="258"/>
        <v>1+106,633666117915i</v>
      </c>
      <c r="R276" s="4">
        <f t="shared" ref="R276:R339" si="270">IMABS(Q276)</f>
        <v>106.63835496549528</v>
      </c>
      <c r="S276" s="4">
        <f t="shared" ref="S276:S339" si="271">IMARGUMENT(Q276)</f>
        <v>1.5614187003572024</v>
      </c>
      <c r="T276" s="4" t="str">
        <f t="shared" si="259"/>
        <v>1+0,361186624850713i</v>
      </c>
      <c r="U276" s="4">
        <f t="shared" ref="U276:U339" si="272">IMABS(T276)</f>
        <v>1.063228939585003</v>
      </c>
      <c r="V276" s="4">
        <f t="shared" ref="V276:V339" si="273">IMARGUMENT(T276)</f>
        <v>0.34660566542070148</v>
      </c>
      <c r="W276" t="str">
        <f t="shared" si="260"/>
        <v>1-0,0950584633486477i</v>
      </c>
      <c r="X276" s="4">
        <f t="shared" ref="X276:X339" si="274">IMABS(W276)</f>
        <v>1.0045078951676816</v>
      </c>
      <c r="Y276" s="4">
        <f t="shared" ref="Y276:Y339" si="275">IMARGUMENT(W276)</f>
        <v>-9.4773686105699667E-2</v>
      </c>
      <c r="Z276" t="str">
        <f t="shared" si="261"/>
        <v>0,99994218240917+0,0130602640272009i</v>
      </c>
      <c r="AA276" s="4">
        <f t="shared" ref="AA276:AA339" si="276">IMABS(Z276)</f>
        <v>1.0000274689515654</v>
      </c>
      <c r="AB276" s="4">
        <f t="shared" ref="AB276:AB339" si="277">IMARGUMENT(Z276)</f>
        <v>1.3060276565817871E-2</v>
      </c>
      <c r="AC276" s="47" t="str">
        <f t="shared" ref="AC276:AC339" si="278">(IMDIV(IMPRODUCT(P276,T276,W276),IMPRODUCT(Q276,Z276)))</f>
        <v>0,134383398793953-0,530380844159222i</v>
      </c>
      <c r="AD276" s="20">
        <f t="shared" ref="AD276:AD339" si="279">20*LOG(IMABS(AC276))</f>
        <v>-5.2380225813000125</v>
      </c>
      <c r="AE276" s="43">
        <f t="shared" ref="AE276:AE339" si="280">(180/PI())*IMARGUMENT(AC276)</f>
        <v>-75.782090748589425</v>
      </c>
      <c r="AF276" t="str">
        <f t="shared" si="262"/>
        <v>171,265703090588</v>
      </c>
      <c r="AG276" t="str">
        <f t="shared" si="263"/>
        <v>1+105,613180073856i</v>
      </c>
      <c r="AH276">
        <f t="shared" ref="AH276:AH339" si="281">IMABS(AG276)</f>
        <v>105.61791422534688</v>
      </c>
      <c r="AI276">
        <f t="shared" ref="AI276:AI339" si="282">IMARGUMENT(AG276)</f>
        <v>1.5613280945472912</v>
      </c>
      <c r="AJ276" t="str">
        <f t="shared" si="264"/>
        <v>1+0,361186624850713i</v>
      </c>
      <c r="AK276">
        <f t="shared" ref="AK276:AK339" si="283">IMABS(AJ276)</f>
        <v>1.063228939585003</v>
      </c>
      <c r="AL276">
        <f t="shared" ref="AL276:AL339" si="284">IMARGUMENT(AJ276)</f>
        <v>0.34660566542070148</v>
      </c>
      <c r="AM276" t="str">
        <f t="shared" si="265"/>
        <v>1-0,0300322523916911i</v>
      </c>
      <c r="AN276">
        <f t="shared" ref="AN276:AN339" si="285">IMABS(AM276)</f>
        <v>1.0004508664515805</v>
      </c>
      <c r="AO276">
        <f t="shared" ref="AO276:AO339" si="286">IMARGUMENT(AM276)</f>
        <v>-3.0023228216355894E-2</v>
      </c>
      <c r="AP276" s="41" t="str">
        <f t="shared" ref="AP276:AP339" si="287">(IMDIV(IMPRODUCT(AF276,AJ276,AM276),IMPRODUCT(AG276)))</f>
        <v>0,552481966369223-1,63399097099402i</v>
      </c>
      <c r="AQ276">
        <f t="shared" ref="AQ276:AQ339" si="288">20*LOG(IMABS(AP276))</f>
        <v>4.7351073757795561</v>
      </c>
      <c r="AR276" s="43">
        <f t="shared" ref="AR276:AR339" si="289">(180/PI())*IMARGUMENT(AP276)</f>
        <v>-71.31867273298819</v>
      </c>
      <c r="AS276" t="str">
        <f t="shared" si="266"/>
        <v>-0,0000166666666666667</v>
      </c>
      <c r="AT276" t="str">
        <f t="shared" si="267"/>
        <v>0,0000366203105751417i</v>
      </c>
      <c r="AU276">
        <f t="shared" ref="AU276:AU339" si="290">IMABS(AT276)</f>
        <v>3.66203105751417E-5</v>
      </c>
      <c r="AV276">
        <f t="shared" ref="AV276:AV339" si="291">IMARGUMENT(AT276)</f>
        <v>1.5707963267948966</v>
      </c>
      <c r="AW276" t="str">
        <f t="shared" si="268"/>
        <v>1+0,169693650820583i</v>
      </c>
      <c r="AX276">
        <f t="shared" ref="AX276:AX339" si="292">IMABS(AW276)</f>
        <v>1.0142957828606101</v>
      </c>
      <c r="AY276">
        <f t="shared" ref="AY276:AY339" si="293">IMARGUMENT(AW276)</f>
        <v>0.1680923977175717</v>
      </c>
      <c r="AZ276" t="str">
        <f t="shared" si="269"/>
        <v>1+7,88304141539254i</v>
      </c>
      <c r="BA276">
        <f t="shared" ref="BA276:BA339" si="294">IMABS(AZ276)</f>
        <v>7.9462155745231335</v>
      </c>
      <c r="BB276">
        <f t="shared" ref="BB276:BB339" si="295">IMARGUMENT(AZ276)</f>
        <v>1.4446156914859161</v>
      </c>
      <c r="BC276" s="41" t="str">
        <f t="shared" ref="BC276:BC339" si="296">IMPRODUCT(AS276,IMDIV(AZ276,IMPRODUCT(AT276,AW276)))</f>
        <v>-3,41224651745852+1,03415741332496i</v>
      </c>
      <c r="BD276">
        <f t="shared" ref="BD276:BD339" si="297">20*LOG(IMABS(BC276))</f>
        <v>11.042448990509365</v>
      </c>
      <c r="BE276" s="43">
        <f t="shared" ref="BE276:BE339" si="298">(180/PI())*IMARGUMENT(BC276)</f>
        <v>163.13939718306474</v>
      </c>
      <c r="BF276" s="41" t="str">
        <f t="shared" ref="BF276:BF339" si="299">IMPRODUCT(AC276,BC276)</f>
        <v>0,0899479973339041+1,94876377649959i</v>
      </c>
      <c r="BG276" s="20">
        <f t="shared" ref="BG276:BG339" si="300">20*LOG(IMABS(BF276))</f>
        <v>5.8044264092093689</v>
      </c>
      <c r="BH276" s="43">
        <f t="shared" ref="BH276:BH339" si="301">(180/PI())*IMARGUMENT(BF276)</f>
        <v>87.357306434475333</v>
      </c>
      <c r="BI276" s="41" t="str">
        <f t="shared" si="255"/>
        <v>-0,195400789742501+6,14693332158209i</v>
      </c>
      <c r="BJ276" s="20">
        <f t="shared" ref="BJ276:BJ339" si="302">20*LOG(IMABS(BI276))</f>
        <v>15.777556366288918</v>
      </c>
      <c r="BK276" s="43">
        <f t="shared" si="256"/>
        <v>91.82072445007654</v>
      </c>
      <c r="BL276">
        <f t="shared" ref="BL276:BL339" si="303">IF($B$31=0,BJ276,BG276)</f>
        <v>5.8044264092093689</v>
      </c>
      <c r="BM276" s="43">
        <f t="shared" ref="BM276:BM339" si="304">IF($B$31=0,BK276,BH276)</f>
        <v>87.357306434475333</v>
      </c>
    </row>
    <row r="277" spans="14:65" x14ac:dyDescent="0.25">
      <c r="N277" s="9">
        <v>59</v>
      </c>
      <c r="O277" s="34">
        <f t="shared" si="254"/>
        <v>3890.451449942811</v>
      </c>
      <c r="P277" s="33" t="str">
        <f t="shared" si="257"/>
        <v>54,631621870174</v>
      </c>
      <c r="Q277" s="4" t="str">
        <f t="shared" si="258"/>
        <v>1+109,117483279668i</v>
      </c>
      <c r="R277" s="4">
        <f t="shared" si="270"/>
        <v>109.12206540058077</v>
      </c>
      <c r="S277" s="4">
        <f t="shared" si="271"/>
        <v>1.561632149105521</v>
      </c>
      <c r="T277" s="4" t="str">
        <f t="shared" si="259"/>
        <v>1+0,369599742115272i</v>
      </c>
      <c r="U277" s="4">
        <f t="shared" si="272"/>
        <v>1.0661163019913333</v>
      </c>
      <c r="V277" s="4">
        <f t="shared" si="273"/>
        <v>0.35402781250582566</v>
      </c>
      <c r="W277" t="str">
        <f t="shared" si="260"/>
        <v>1-0,0972726594016481i</v>
      </c>
      <c r="X277" s="4">
        <f t="shared" si="274"/>
        <v>1.0047198466573004</v>
      </c>
      <c r="Y277" s="4">
        <f t="shared" si="275"/>
        <v>-9.6967592454750506E-2</v>
      </c>
      <c r="Z277" t="str">
        <f t="shared" si="261"/>
        <v>0,999939457550063+0,0133644766563711i</v>
      </c>
      <c r="AA277" s="4">
        <f t="shared" si="276"/>
        <v>1.0000287635872345</v>
      </c>
      <c r="AB277" s="4">
        <f t="shared" si="277"/>
        <v>1.336449009127944E-2</v>
      </c>
      <c r="AC277" s="47" t="str">
        <f t="shared" si="278"/>
        <v>0,134156174213001-0,519199272752215i</v>
      </c>
      <c r="AD277" s="20">
        <f t="shared" si="279"/>
        <v>-5.4126282006871502</v>
      </c>
      <c r="AE277" s="43">
        <f t="shared" si="280"/>
        <v>-75.512194483634673</v>
      </c>
      <c r="AF277" t="str">
        <f t="shared" si="262"/>
        <v>171,265703090588</v>
      </c>
      <c r="AG277" t="str">
        <f t="shared" si="263"/>
        <v>1+108,073227062063i</v>
      </c>
      <c r="AH277">
        <f t="shared" si="281"/>
        <v>108.07785345577615</v>
      </c>
      <c r="AI277">
        <f t="shared" si="282"/>
        <v>1.561543605381803</v>
      </c>
      <c r="AJ277" t="str">
        <f t="shared" si="264"/>
        <v>1+0,369599742115272i</v>
      </c>
      <c r="AK277">
        <f t="shared" si="283"/>
        <v>1.0661163019913333</v>
      </c>
      <c r="AL277">
        <f t="shared" si="284"/>
        <v>0.35402781250582566</v>
      </c>
      <c r="AM277" t="str">
        <f t="shared" si="265"/>
        <v>1-0,0307317934148245i</v>
      </c>
      <c r="AN277">
        <f t="shared" si="285"/>
        <v>1.0004721101192635</v>
      </c>
      <c r="AO277">
        <f t="shared" si="286"/>
        <v>-3.0722124083161873E-2</v>
      </c>
      <c r="AP277" s="41" t="str">
        <f t="shared" si="287"/>
        <v>0,551793190702239-1,59761330101582i</v>
      </c>
      <c r="AQ277">
        <f t="shared" si="288"/>
        <v>4.5588652377360166</v>
      </c>
      <c r="AR277" s="43">
        <f t="shared" si="289"/>
        <v>-70.945806674829143</v>
      </c>
      <c r="AS277" t="str">
        <f t="shared" si="266"/>
        <v>-0,0000166666666666667</v>
      </c>
      <c r="AT277" t="str">
        <f t="shared" si="267"/>
        <v>0,0000374733071866873i</v>
      </c>
      <c r="AU277">
        <f t="shared" si="290"/>
        <v>3.74733071866873E-5</v>
      </c>
      <c r="AV277">
        <f t="shared" si="291"/>
        <v>1.5707963267948966</v>
      </c>
      <c r="AW277" t="str">
        <f t="shared" si="268"/>
        <v>1+0,17364632371924i</v>
      </c>
      <c r="AX277">
        <f t="shared" si="292"/>
        <v>1.0149645539333909</v>
      </c>
      <c r="AY277">
        <f t="shared" si="293"/>
        <v>0.17193191341772573</v>
      </c>
      <c r="AZ277" t="str">
        <f t="shared" si="269"/>
        <v>1+8,06666103823015i</v>
      </c>
      <c r="BA277">
        <f t="shared" si="294"/>
        <v>8.1284082270577631</v>
      </c>
      <c r="BB277">
        <f t="shared" si="295"/>
        <v>1.4474585407075575</v>
      </c>
      <c r="BC277" s="41" t="str">
        <f t="shared" si="296"/>
        <v>-3,40775126699057+1,03650450872341i</v>
      </c>
      <c r="BD277">
        <f t="shared" si="297"/>
        <v>11.033627153839342</v>
      </c>
      <c r="BE277" s="43">
        <f t="shared" si="298"/>
        <v>163.0822924002637</v>
      </c>
      <c r="BF277" s="41" t="str">
        <f t="shared" si="299"/>
        <v>0,0809815144846246+1,9083554589868i</v>
      </c>
      <c r="BG277" s="20">
        <f t="shared" si="300"/>
        <v>5.6209989531521822</v>
      </c>
      <c r="BH277" s="43">
        <f t="shared" si="301"/>
        <v>87.57009791662901</v>
      </c>
      <c r="BI277" s="41" t="str">
        <f t="shared" si="255"/>
        <v>-0,224440555032936+6,01620488074339i</v>
      </c>
      <c r="BJ277" s="20">
        <f t="shared" si="302"/>
        <v>15.592492391575352</v>
      </c>
      <c r="BK277" s="43">
        <f t="shared" si="256"/>
        <v>92.13648572543454</v>
      </c>
      <c r="BL277">
        <f t="shared" si="303"/>
        <v>5.6209989531521822</v>
      </c>
      <c r="BM277" s="43">
        <f t="shared" si="304"/>
        <v>87.57009791662901</v>
      </c>
    </row>
    <row r="278" spans="14:65" x14ac:dyDescent="0.25">
      <c r="N278" s="9">
        <v>60</v>
      </c>
      <c r="O278" s="34">
        <f t="shared" si="254"/>
        <v>3981.0717055349769</v>
      </c>
      <c r="P278" s="33" t="str">
        <f t="shared" si="257"/>
        <v>54,631621870174</v>
      </c>
      <c r="Q278" s="4" t="str">
        <f t="shared" si="258"/>
        <v>1+111,659155975396i</v>
      </c>
      <c r="R278" s="4">
        <f t="shared" si="270"/>
        <v>111.66363379873418</v>
      </c>
      <c r="S278" s="4">
        <f t="shared" si="271"/>
        <v>1.5618407399740635</v>
      </c>
      <c r="T278" s="4" t="str">
        <f t="shared" si="259"/>
        <v>1+0,378208826055331i</v>
      </c>
      <c r="U278" s="4">
        <f t="shared" si="272"/>
        <v>1.0691313839309702</v>
      </c>
      <c r="V278" s="4">
        <f t="shared" si="273"/>
        <v>0.36158091554182431</v>
      </c>
      <c r="W278" t="str">
        <f t="shared" si="260"/>
        <v>1-0,0995384307062189i</v>
      </c>
      <c r="X278" s="4">
        <f t="shared" si="274"/>
        <v>1.0049417392005653</v>
      </c>
      <c r="Y278" s="4">
        <f t="shared" si="275"/>
        <v>-9.9211632336416972E-2</v>
      </c>
      <c r="Z278" t="str">
        <f t="shared" si="261"/>
        <v>0,999936604272302+0,0136757753079642i</v>
      </c>
      <c r="AA278" s="4">
        <f t="shared" si="276"/>
        <v>1.0000301192433636</v>
      </c>
      <c r="AB278" s="4">
        <f t="shared" si="277"/>
        <v>1.3675789703209708E-2</v>
      </c>
      <c r="AC278" s="47" t="str">
        <f t="shared" si="278"/>
        <v>0,133938112207161-0,508292800252274i</v>
      </c>
      <c r="AD278" s="20">
        <f t="shared" si="279"/>
        <v>-5.5861756104148093</v>
      </c>
      <c r="AE278" s="43">
        <f t="shared" si="280"/>
        <v>-75.237795102063174</v>
      </c>
      <c r="AF278" t="str">
        <f t="shared" si="262"/>
        <v>171,265703090588</v>
      </c>
      <c r="AG278" t="str">
        <f t="shared" si="263"/>
        <v>1+110,590575905775i</v>
      </c>
      <c r="AH278">
        <f t="shared" si="281"/>
        <v>110.59509699426545</v>
      </c>
      <c r="AI278">
        <f t="shared" si="282"/>
        <v>1.561754211421341</v>
      </c>
      <c r="AJ278" t="str">
        <f t="shared" si="264"/>
        <v>1+0,378208826055331i</v>
      </c>
      <c r="AK278">
        <f t="shared" si="283"/>
        <v>1.0691313839309702</v>
      </c>
      <c r="AL278">
        <f t="shared" si="284"/>
        <v>0.36158091554182431</v>
      </c>
      <c r="AM278" t="str">
        <f t="shared" si="265"/>
        <v>1-0,0314476288416096i</v>
      </c>
      <c r="AN278">
        <f t="shared" si="285"/>
        <v>1.0004943544867004</v>
      </c>
      <c r="AO278">
        <f t="shared" si="286"/>
        <v>-3.1437268242538216E-2</v>
      </c>
      <c r="AP278" s="41" t="str">
        <f t="shared" si="287"/>
        <v>0,551135409858422-1,56208213296628i</v>
      </c>
      <c r="AQ278">
        <f t="shared" si="288"/>
        <v>4.3836049719092198</v>
      </c>
      <c r="AR278" s="43">
        <f t="shared" si="289"/>
        <v>-70.566087327920229</v>
      </c>
      <c r="AS278" t="str">
        <f t="shared" si="266"/>
        <v>-0,0000166666666666667</v>
      </c>
      <c r="AT278" t="str">
        <f t="shared" si="267"/>
        <v>0,0000383461726417211i</v>
      </c>
      <c r="AU278">
        <f t="shared" si="290"/>
        <v>3.8346172641721098E-5</v>
      </c>
      <c r="AV278">
        <f t="shared" si="291"/>
        <v>1.5707963267948966</v>
      </c>
      <c r="AW278" t="str">
        <f t="shared" si="268"/>
        <v>1+0,177691066197213i</v>
      </c>
      <c r="AX278">
        <f t="shared" si="292"/>
        <v>1.0156643712399791</v>
      </c>
      <c r="AY278">
        <f t="shared" si="293"/>
        <v>0.17585556917002654</v>
      </c>
      <c r="AZ278" t="str">
        <f t="shared" si="269"/>
        <v>1+8,25455771152508i</v>
      </c>
      <c r="BA278">
        <f t="shared" si="294"/>
        <v>8.3149096815839307</v>
      </c>
      <c r="BB278">
        <f t="shared" si="295"/>
        <v>1.4502386163168024</v>
      </c>
      <c r="BC278" s="41" t="str">
        <f t="shared" si="296"/>
        <v>-3,40305683881699+1,03932983004804i</v>
      </c>
      <c r="BD278">
        <f t="shared" si="297"/>
        <v>11.024680891860601</v>
      </c>
      <c r="BE278" s="43">
        <f t="shared" si="298"/>
        <v>163.01677008453166</v>
      </c>
      <c r="BF278" s="41" t="str">
        <f t="shared" si="299"/>
        <v>0,0724848609760216+1,86895516541716i</v>
      </c>
      <c r="BG278" s="20">
        <f t="shared" si="300"/>
        <v>5.4385052814457735</v>
      </c>
      <c r="BH278" s="43">
        <f t="shared" si="301"/>
        <v>87.778974982468498</v>
      </c>
      <c r="BI278" s="41" t="str">
        <f t="shared" si="255"/>
        <v>-0,252026567855984+5,88866575724634i</v>
      </c>
      <c r="BJ278" s="20">
        <f t="shared" si="302"/>
        <v>15.408285863769819</v>
      </c>
      <c r="BK278" s="43">
        <f t="shared" si="256"/>
        <v>92.450682756611428</v>
      </c>
      <c r="BL278">
        <f t="shared" si="303"/>
        <v>5.4385052814457735</v>
      </c>
      <c r="BM278" s="43">
        <f t="shared" si="304"/>
        <v>87.778974982468498</v>
      </c>
    </row>
    <row r="279" spans="14:65" x14ac:dyDescent="0.25">
      <c r="N279" s="9">
        <v>61</v>
      </c>
      <c r="O279" s="34">
        <f t="shared" si="254"/>
        <v>4073.8027780411317</v>
      </c>
      <c r="P279" s="33" t="str">
        <f t="shared" si="257"/>
        <v>54,631621870174</v>
      </c>
      <c r="Q279" s="4" t="str">
        <f t="shared" si="258"/>
        <v>1+114,260031833607i</v>
      </c>
      <c r="R279" s="4">
        <f t="shared" si="270"/>
        <v>114.26440773319085</v>
      </c>
      <c r="S279" s="4">
        <f t="shared" si="271"/>
        <v>1.5620445834878212</v>
      </c>
      <c r="T279" s="4" t="str">
        <f t="shared" si="259"/>
        <v>1+0,387018441321151i</v>
      </c>
      <c r="U279" s="4">
        <f t="shared" si="272"/>
        <v>1.0722794756604517</v>
      </c>
      <c r="V279" s="4">
        <f t="shared" si="273"/>
        <v>0.36926553108950394</v>
      </c>
      <c r="W279" t="str">
        <f t="shared" si="260"/>
        <v>1-0,101856978604297i</v>
      </c>
      <c r="X279" s="4">
        <f t="shared" si="274"/>
        <v>1.0051740367172224</v>
      </c>
      <c r="Y279" s="4">
        <f t="shared" si="275"/>
        <v>-0.10150690511792737</v>
      </c>
      <c r="Z279" t="str">
        <f t="shared" si="261"/>
        <v>0,999933616523702+0,013994325036646i</v>
      </c>
      <c r="AA279" s="4">
        <f t="shared" si="276"/>
        <v>1.0000315387963528</v>
      </c>
      <c r="AB279" s="4">
        <f t="shared" si="277"/>
        <v>1.3994340460848116E-2</v>
      </c>
      <c r="AC279" s="47" t="str">
        <f t="shared" si="278"/>
        <v>0,133728750461783-0,497655655103476i</v>
      </c>
      <c r="AD279" s="20">
        <f t="shared" si="279"/>
        <v>-5.758626406617867</v>
      </c>
      <c r="AE279" s="43">
        <f t="shared" si="280"/>
        <v>-74.958939494205111</v>
      </c>
      <c r="AF279" t="str">
        <f t="shared" si="262"/>
        <v>171,265703090588</v>
      </c>
      <c r="AG279" t="str">
        <f t="shared" si="263"/>
        <v>1+113,166561336673i</v>
      </c>
      <c r="AH279">
        <f t="shared" si="281"/>
        <v>113.17097951668957</v>
      </c>
      <c r="AI279">
        <f t="shared" si="282"/>
        <v>1.5619600242572409</v>
      </c>
      <c r="AJ279" t="str">
        <f t="shared" si="264"/>
        <v>1+0,387018441321151i</v>
      </c>
      <c r="AK279">
        <f t="shared" si="283"/>
        <v>1.0722794756604517</v>
      </c>
      <c r="AL279">
        <f t="shared" si="284"/>
        <v>0.36926553108950394</v>
      </c>
      <c r="AM279" t="str">
        <f t="shared" si="265"/>
        <v>1-0,0321801382174653i</v>
      </c>
      <c r="AN279">
        <f t="shared" si="285"/>
        <v>1.0005176466688106</v>
      </c>
      <c r="AO279">
        <f t="shared" si="286"/>
        <v>-3.2169036945735092E-2</v>
      </c>
      <c r="AP279" s="41" t="str">
        <f t="shared" si="287"/>
        <v>0,550507229297394-1,52737866604158i</v>
      </c>
      <c r="AQ279">
        <f t="shared" si="288"/>
        <v>4.2093614641903656</v>
      </c>
      <c r="AR279" s="43">
        <f t="shared" si="289"/>
        <v>-70.179510754997153</v>
      </c>
      <c r="AS279" t="str">
        <f t="shared" si="266"/>
        <v>-0,0000166666666666667</v>
      </c>
      <c r="AT279" t="str">
        <f t="shared" si="267"/>
        <v>0,0000392393697450612i</v>
      </c>
      <c r="AU279">
        <f t="shared" si="290"/>
        <v>3.9239369745061203E-5</v>
      </c>
      <c r="AV279">
        <f t="shared" si="291"/>
        <v>1.5707963267948966</v>
      </c>
      <c r="AW279" t="str">
        <f t="shared" si="268"/>
        <v>1+0,181830022830504i</v>
      </c>
      <c r="AX279">
        <f t="shared" si="292"/>
        <v>1.0163966534786217</v>
      </c>
      <c r="AY279">
        <f t="shared" si="293"/>
        <v>0.17986496186851847</v>
      </c>
      <c r="AZ279" t="str">
        <f t="shared" si="269"/>
        <v>1+8,44683106058068i</v>
      </c>
      <c r="BA279">
        <f t="shared" si="294"/>
        <v>8.5058188886191637</v>
      </c>
      <c r="BB279">
        <f t="shared" si="295"/>
        <v>1.4529572203607928</v>
      </c>
      <c r="BC279" s="41" t="str">
        <f t="shared" si="296"/>
        <v>-3,39815501162581+1,04263008864995i</v>
      </c>
      <c r="BD279">
        <f t="shared" si="297"/>
        <v>11.01559262302345</v>
      </c>
      <c r="BE279" s="43">
        <f t="shared" si="298"/>
        <v>162.94281334238534</v>
      </c>
      <c r="BF279" s="41" t="str">
        <f t="shared" si="299"/>
        <v>0,0644397362175209+1,83054067740282i</v>
      </c>
      <c r="BG279" s="20">
        <f t="shared" si="300"/>
        <v>5.2569662164055897</v>
      </c>
      <c r="BH279" s="43">
        <f t="shared" si="301"/>
        <v>87.98387384818021</v>
      </c>
      <c r="BI279" s="41" t="str">
        <f t="shared" si="255"/>
        <v>-0,278217946196204+5,76424486994432i</v>
      </c>
      <c r="BJ279" s="20">
        <f t="shared" si="302"/>
        <v>15.224954087213813</v>
      </c>
      <c r="BK279" s="43">
        <f t="shared" si="256"/>
        <v>92.763302587388168</v>
      </c>
      <c r="BL279">
        <f t="shared" si="303"/>
        <v>5.2569662164055897</v>
      </c>
      <c r="BM279" s="43">
        <f t="shared" si="304"/>
        <v>87.98387384818021</v>
      </c>
    </row>
    <row r="280" spans="14:65" x14ac:dyDescent="0.25">
      <c r="N280" s="9">
        <v>62</v>
      </c>
      <c r="O280" s="34">
        <f t="shared" si="254"/>
        <v>4168.6938347033583</v>
      </c>
      <c r="P280" s="33" t="str">
        <f t="shared" si="257"/>
        <v>54,631621870174</v>
      </c>
      <c r="Q280" s="4" t="str">
        <f t="shared" si="258"/>
        <v>1+116,921489873106i</v>
      </c>
      <c r="R280" s="4">
        <f t="shared" si="270"/>
        <v>116.92576616873984</v>
      </c>
      <c r="S280" s="4">
        <f t="shared" si="271"/>
        <v>1.5622437876595234</v>
      </c>
      <c r="T280" s="4" t="str">
        <f t="shared" si="259"/>
        <v>1+0,396033258887355i</v>
      </c>
      <c r="U280" s="4">
        <f t="shared" si="272"/>
        <v>1.0755660566162075</v>
      </c>
      <c r="V280" s="4">
        <f t="shared" si="273"/>
        <v>0.37708210220440036</v>
      </c>
      <c r="W280" t="str">
        <f t="shared" si="260"/>
        <v>1-0,104229532420668i</v>
      </c>
      <c r="X280" s="4">
        <f t="shared" si="274"/>
        <v>1.0054172245533846</v>
      </c>
      <c r="Y280" s="4">
        <f t="shared" si="275"/>
        <v>-0.10385453099320219</v>
      </c>
      <c r="Z280" t="str">
        <f t="shared" si="261"/>
        <v>0,99993048796685+0,014320294741699i</v>
      </c>
      <c r="AA280" s="4">
        <f t="shared" si="276"/>
        <v>1.0000330252582221</v>
      </c>
      <c r="AB280" s="4">
        <f t="shared" si="277"/>
        <v>1.4320311268377028E-2</v>
      </c>
      <c r="AC280" s="47" t="str">
        <f t="shared" si="278"/>
        <v>0,13352764509854-0,487282207709991i</v>
      </c>
      <c r="AD280" s="20">
        <f t="shared" si="279"/>
        <v>-5.9299412763313422</v>
      </c>
      <c r="AE280" s="43">
        <f t="shared" si="280"/>
        <v>-74.675682323402455</v>
      </c>
      <c r="AF280" t="str">
        <f t="shared" si="262"/>
        <v>171,265703090588</v>
      </c>
      <c r="AG280" t="str">
        <f t="shared" si="263"/>
        <v>1+115,802549176328i</v>
      </c>
      <c r="AH280">
        <f t="shared" si="281"/>
        <v>115.80686679008228</v>
      </c>
      <c r="AI280">
        <f t="shared" si="282"/>
        <v>1.5621611529444084</v>
      </c>
      <c r="AJ280" t="str">
        <f t="shared" si="264"/>
        <v>1+0,396033258887355i</v>
      </c>
      <c r="AK280">
        <f t="shared" si="283"/>
        <v>1.0755660566162075</v>
      </c>
      <c r="AL280">
        <f t="shared" si="284"/>
        <v>0.37708210220440036</v>
      </c>
      <c r="AM280" t="str">
        <f t="shared" si="265"/>
        <v>1-0,0329297099285584i</v>
      </c>
      <c r="AN280">
        <f t="shared" si="285"/>
        <v>1.0005420359964787</v>
      </c>
      <c r="AO280">
        <f t="shared" si="286"/>
        <v>-3.2917815049600438E-2</v>
      </c>
      <c r="AP280" s="41" t="str">
        <f t="shared" si="287"/>
        <v>0,549907317203294-1,49348453574095i</v>
      </c>
      <c r="AQ280">
        <f t="shared" si="288"/>
        <v>4.0361703511496207</v>
      </c>
      <c r="AR280" s="43">
        <f t="shared" si="289"/>
        <v>-69.786079869906743</v>
      </c>
      <c r="AS280" t="str">
        <f t="shared" si="266"/>
        <v>-0,0000166666666666667</v>
      </c>
      <c r="AT280" t="str">
        <f t="shared" si="267"/>
        <v>0,0000401533720816346i</v>
      </c>
      <c r="AU280">
        <f t="shared" si="290"/>
        <v>4.01533720816346E-5</v>
      </c>
      <c r="AV280">
        <f t="shared" si="291"/>
        <v>1.5707963267948966</v>
      </c>
      <c r="AW280" t="str">
        <f t="shared" si="268"/>
        <v>1+0,186065388148704i</v>
      </c>
      <c r="AX280">
        <f t="shared" si="292"/>
        <v>1.017162882072939</v>
      </c>
      <c r="AY280">
        <f t="shared" si="293"/>
        <v>0.18396170147626345</v>
      </c>
      <c r="AZ280" t="str">
        <f t="shared" si="269"/>
        <v>1+8,64358303127164i</v>
      </c>
      <c r="BA280">
        <f t="shared" si="294"/>
        <v>8.7012371314938335</v>
      </c>
      <c r="BB280">
        <f t="shared" si="295"/>
        <v>1.4556156334515336</v>
      </c>
      <c r="BC280" s="41" t="str">
        <f t="shared" si="296"/>
        <v>-3,39303728097239+1,04640194188514i</v>
      </c>
      <c r="BD280">
        <f t="shared" si="297"/>
        <v>11.006344544031512</v>
      </c>
      <c r="BE280" s="43">
        <f t="shared" si="298"/>
        <v>162.86040330339929</v>
      </c>
      <c r="BF280" s="41" t="str">
        <f t="shared" si="299"/>
        <v>0,0568287705340162+1,79309028424099i</v>
      </c>
      <c r="BG280" s="20">
        <f t="shared" si="300"/>
        <v>5.0764032677001536</v>
      </c>
      <c r="BH280" s="43">
        <f t="shared" si="301"/>
        <v>88.18472097999684</v>
      </c>
      <c r="BI280" s="41" t="str">
        <f t="shared" si="255"/>
        <v>-0,303070909975529+5,64287279290316i</v>
      </c>
      <c r="BJ280" s="20">
        <f t="shared" si="302"/>
        <v>15.042514895181132</v>
      </c>
      <c r="BK280" s="43">
        <f t="shared" si="256"/>
        <v>93.074323433492552</v>
      </c>
      <c r="BL280">
        <f t="shared" si="303"/>
        <v>5.0764032677001536</v>
      </c>
      <c r="BM280" s="43">
        <f t="shared" si="304"/>
        <v>88.18472097999684</v>
      </c>
    </row>
    <row r="281" spans="14:65" x14ac:dyDescent="0.25">
      <c r="N281" s="9">
        <v>63</v>
      </c>
      <c r="O281" s="34">
        <f t="shared" si="254"/>
        <v>4265.7951880159299</v>
      </c>
      <c r="P281" s="33" t="str">
        <f t="shared" si="257"/>
        <v>54,631621870174</v>
      </c>
      <c r="Q281" s="4" t="str">
        <f t="shared" si="258"/>
        <v>1+119,644941234174i</v>
      </c>
      <c r="R281" s="4">
        <f t="shared" si="270"/>
        <v>119.64912019287459</v>
      </c>
      <c r="S281" s="4">
        <f t="shared" si="271"/>
        <v>1.5624384580465833</v>
      </c>
      <c r="T281" s="4" t="str">
        <f t="shared" si="259"/>
        <v>1+0,40525805852954i</v>
      </c>
      <c r="U281" s="4">
        <f t="shared" si="272"/>
        <v>1.078996799811349</v>
      </c>
      <c r="V281" s="4">
        <f t="shared" si="273"/>
        <v>0.38503095164495887</v>
      </c>
      <c r="W281" t="str">
        <f t="shared" si="260"/>
        <v>1-0,10665735011477i</v>
      </c>
      <c r="X281" s="4">
        <f t="shared" si="274"/>
        <v>1.0056718104498628</v>
      </c>
      <c r="Y281" s="4">
        <f t="shared" si="275"/>
        <v>-0.10625565113929285</v>
      </c>
      <c r="Z281" t="str">
        <f t="shared" si="261"/>
        <v>0,999927211965656+0,0146538572565755i</v>
      </c>
      <c r="AA281" s="4">
        <f t="shared" si="276"/>
        <v>1.0000345817830032</v>
      </c>
      <c r="AB281" s="4">
        <f t="shared" si="277"/>
        <v>1.4653874964498164E-2</v>
      </c>
      <c r="AC281" s="47" t="str">
        <f t="shared" si="278"/>
        <v>0,133334369735646-0,477166967500578i</v>
      </c>
      <c r="AD281" s="20">
        <f t="shared" si="279"/>
        <v>-6.1000800149100094</v>
      </c>
      <c r="AE281" s="43">
        <f t="shared" si="280"/>
        <v>-74.388086432509567</v>
      </c>
      <c r="AF281" t="str">
        <f t="shared" si="262"/>
        <v>171,265703090588</v>
      </c>
      <c r="AG281" t="str">
        <f t="shared" si="263"/>
        <v>1+118,499937060383i</v>
      </c>
      <c r="AH281">
        <f t="shared" si="281"/>
        <v>118.50415639678945</v>
      </c>
      <c r="AI281">
        <f t="shared" si="282"/>
        <v>1.5623577040588086</v>
      </c>
      <c r="AJ281" t="str">
        <f t="shared" si="264"/>
        <v>1+0,40525805852954i</v>
      </c>
      <c r="AK281">
        <f t="shared" si="283"/>
        <v>1.078996799811349</v>
      </c>
      <c r="AL281">
        <f t="shared" si="284"/>
        <v>0.38503095164495887</v>
      </c>
      <c r="AM281" t="str">
        <f t="shared" si="265"/>
        <v>1-0,0336967414077318i</v>
      </c>
      <c r="AN281">
        <f t="shared" si="285"/>
        <v>1.0005675741205586</v>
      </c>
      <c r="AO281">
        <f t="shared" si="286"/>
        <v>-3.3683996205744776E-2</v>
      </c>
      <c r="AP281" s="41" t="str">
        <f t="shared" si="287"/>
        <v>0,549334401665216-1,4603818042999i</v>
      </c>
      <c r="AQ281">
        <f t="shared" si="288"/>
        <v>3.8640679958534463</v>
      </c>
      <c r="AR281" s="43">
        <f t="shared" si="289"/>
        <v>-69.385804840881079</v>
      </c>
      <c r="AS281" t="str">
        <f t="shared" si="266"/>
        <v>-0,0000166666666666667</v>
      </c>
      <c r="AT281" t="str">
        <f t="shared" si="267"/>
        <v>0,0000410886642675783i</v>
      </c>
      <c r="AU281">
        <f t="shared" si="290"/>
        <v>4.1088664267578298E-5</v>
      </c>
      <c r="AV281">
        <f t="shared" si="291"/>
        <v>1.5707963267948966</v>
      </c>
      <c r="AW281" t="str">
        <f t="shared" si="268"/>
        <v>1+0,190399407798568i</v>
      </c>
      <c r="AX281">
        <f t="shared" si="292"/>
        <v>1.0179646037510564</v>
      </c>
      <c r="AY281">
        <f t="shared" si="293"/>
        <v>0.18814740981534725</v>
      </c>
      <c r="AZ281" t="str">
        <f t="shared" si="269"/>
        <v>1+8,8449179440971i</v>
      </c>
      <c r="BA281">
        <f t="shared" si="294"/>
        <v>8.9012680803248969</v>
      </c>
      <c r="BB281">
        <f t="shared" si="295"/>
        <v>1.4582151147343529</v>
      </c>
      <c r="BC281" s="41" t="str">
        <f t="shared" si="296"/>
        <v>-3,38769485486786+1,05064197359574i</v>
      </c>
      <c r="BD281">
        <f t="shared" si="297"/>
        <v>10.996918603436058</v>
      </c>
      <c r="BE281" s="43">
        <f t="shared" si="298"/>
        <v>162.76951918772582</v>
      </c>
      <c r="BF281" s="41" t="str">
        <f t="shared" si="299"/>
        <v>0,0496354861390048+1,75658276608181i</v>
      </c>
      <c r="BG281" s="20">
        <f t="shared" si="300"/>
        <v>4.8968385885260455</v>
      </c>
      <c r="BH281" s="43">
        <f t="shared" si="301"/>
        <v>88.381432755216238</v>
      </c>
      <c r="BI281" s="41" t="str">
        <f t="shared" si="255"/>
        <v>-0,326638905050212+5,52448170449899i</v>
      </c>
      <c r="BJ281" s="20">
        <f t="shared" si="302"/>
        <v>14.8609865992895</v>
      </c>
      <c r="BK281" s="43">
        <f t="shared" si="256"/>
        <v>93.383714346844727</v>
      </c>
      <c r="BL281">
        <f t="shared" si="303"/>
        <v>4.8968385885260455</v>
      </c>
      <c r="BM281" s="43">
        <f t="shared" si="304"/>
        <v>88.381432755216238</v>
      </c>
    </row>
    <row r="282" spans="14:65" x14ac:dyDescent="0.25">
      <c r="N282" s="9">
        <v>64</v>
      </c>
      <c r="O282" s="34">
        <f t="shared" si="254"/>
        <v>4365.1583224016631</v>
      </c>
      <c r="P282" s="33" t="str">
        <f t="shared" si="257"/>
        <v>54,631621870174</v>
      </c>
      <c r="Q282" s="4" t="str">
        <f t="shared" si="258"/>
        <v>1+122,431829926773i</v>
      </c>
      <c r="R282" s="4">
        <f t="shared" si="270"/>
        <v>122.43591376396989</v>
      </c>
      <c r="S282" s="4">
        <f t="shared" si="271"/>
        <v>1.5626286978067643</v>
      </c>
      <c r="T282" s="4" t="str">
        <f t="shared" si="259"/>
        <v>1+0,414697731358581i</v>
      </c>
      <c r="U282" s="4">
        <f t="shared" si="272"/>
        <v>1.0825775761551473</v>
      </c>
      <c r="V282" s="4">
        <f t="shared" si="273"/>
        <v>0.39311227502412455</v>
      </c>
      <c r="W282" t="str">
        <f t="shared" si="260"/>
        <v>1-0,109141718947678i</v>
      </c>
      <c r="X282" s="4">
        <f t="shared" si="274"/>
        <v>1.0059383255522447</v>
      </c>
      <c r="Y282" s="4">
        <f t="shared" si="275"/>
        <v>-0.10871142785453074</v>
      </c>
      <c r="Z282" t="str">
        <f t="shared" si="261"/>
        <v>0,999923781571281+0,0149951894405361i</v>
      </c>
      <c r="AA282" s="4">
        <f t="shared" si="276"/>
        <v>1.0000362116734416</v>
      </c>
      <c r="AB282" s="4">
        <f t="shared" si="277"/>
        <v>1.4995208414095915E-2</v>
      </c>
      <c r="AC282" s="47" t="str">
        <f t="shared" si="278"/>
        <v>0,133148514585053-0,467304580063056i</v>
      </c>
      <c r="AD282" s="20">
        <f t="shared" si="279"/>
        <v>-6.2690015471826221</v>
      </c>
      <c r="AE282" s="43">
        <f t="shared" si="280"/>
        <v>-74.096223252635212</v>
      </c>
      <c r="AF282" t="str">
        <f t="shared" si="262"/>
        <v>171,265703090588</v>
      </c>
      <c r="AG282" t="str">
        <f t="shared" si="263"/>
        <v>1+121,260155179601i</v>
      </c>
      <c r="AH282">
        <f t="shared" si="281"/>
        <v>121.26427847548887</v>
      </c>
      <c r="AI282">
        <f t="shared" si="282"/>
        <v>1.5625497817536633</v>
      </c>
      <c r="AJ282" t="str">
        <f t="shared" si="264"/>
        <v>1+0,414697731358581i</v>
      </c>
      <c r="AK282">
        <f t="shared" si="283"/>
        <v>1.0825775761551473</v>
      </c>
      <c r="AL282">
        <f t="shared" si="284"/>
        <v>0.39311227502412455</v>
      </c>
      <c r="AM282" t="str">
        <f t="shared" si="265"/>
        <v>1-0,0344816393452286i</v>
      </c>
      <c r="AN282">
        <f t="shared" si="285"/>
        <v>1.0005943151207359</v>
      </c>
      <c r="AO282">
        <f t="shared" si="286"/>
        <v>-3.4467983053309635E-2</v>
      </c>
      <c r="AP282" s="41" t="str">
        <f t="shared" si="287"/>
        <v>0,548787267984263-1,42805295133849i</v>
      </c>
      <c r="AQ282">
        <f t="shared" si="288"/>
        <v>3.6930914596936977</v>
      </c>
      <c r="AR282" s="43">
        <f t="shared" si="289"/>
        <v>-68.978703497187411</v>
      </c>
      <c r="AS282" t="str">
        <f t="shared" si="266"/>
        <v>-0,0000166666666666667</v>
      </c>
      <c r="AT282" t="str">
        <f t="shared" si="267"/>
        <v>0,0000420457422071895i</v>
      </c>
      <c r="AU282">
        <f t="shared" si="290"/>
        <v>4.2045742207189502E-5</v>
      </c>
      <c r="AV282">
        <f t="shared" si="291"/>
        <v>1.5707963267948966</v>
      </c>
      <c r="AW282" t="str">
        <f t="shared" si="268"/>
        <v>1+0,19483437973468i</v>
      </c>
      <c r="AX282">
        <f t="shared" si="292"/>
        <v>1.0188034332130009</v>
      </c>
      <c r="AY282">
        <f t="shared" si="293"/>
        <v>0.192423719244077</v>
      </c>
      <c r="AZ282" t="str">
        <f t="shared" si="269"/>
        <v>1+9,05094254949285i</v>
      </c>
      <c r="BA282">
        <f t="shared" si="294"/>
        <v>9.1060178472381743</v>
      </c>
      <c r="BB282">
        <f t="shared" si="295"/>
        <v>1.460756901888796</v>
      </c>
      <c r="BC282" s="41" t="str">
        <f t="shared" si="296"/>
        <v>-3,38211864986721+1,05534667373184i</v>
      </c>
      <c r="BD282">
        <f t="shared" si="297"/>
        <v>10.987296475338876</v>
      </c>
      <c r="BE282" s="43">
        <f t="shared" si="298"/>
        <v>162.67013838193779</v>
      </c>
      <c r="BF282" s="41" t="str">
        <f t="shared" si="299"/>
        <v>0,0428442598089764+1,7209973773793i</v>
      </c>
      <c r="BG282" s="20">
        <f t="shared" si="300"/>
        <v>4.7182949281562694</v>
      </c>
      <c r="BH282" s="43">
        <f t="shared" si="301"/>
        <v>88.573915129302591</v>
      </c>
      <c r="BI282" s="41" t="str">
        <f t="shared" si="255"/>
        <v>-0,348972721751238+5,40900533757339i</v>
      </c>
      <c r="BJ282" s="20">
        <f t="shared" si="302"/>
        <v>14.680387935032568</v>
      </c>
      <c r="BK282" s="43">
        <f t="shared" si="256"/>
        <v>93.691434884750393</v>
      </c>
      <c r="BL282">
        <f t="shared" si="303"/>
        <v>4.7182949281562694</v>
      </c>
      <c r="BM282" s="43">
        <f t="shared" si="304"/>
        <v>88.573915129302591</v>
      </c>
    </row>
    <row r="283" spans="14:65" x14ac:dyDescent="0.25">
      <c r="N283" s="9">
        <v>65</v>
      </c>
      <c r="O283" s="34">
        <f t="shared" si="254"/>
        <v>4466.8359215096343</v>
      </c>
      <c r="P283" s="33" t="str">
        <f t="shared" si="257"/>
        <v>54,631621870174</v>
      </c>
      <c r="Q283" s="4" t="str">
        <f t="shared" si="258"/>
        <v>1+125,283633596176i</v>
      </c>
      <c r="R283" s="4">
        <f t="shared" si="270"/>
        <v>125.28762447688473</v>
      </c>
      <c r="S283" s="4">
        <f t="shared" si="271"/>
        <v>1.5628146077525935</v>
      </c>
      <c r="T283" s="4" t="str">
        <f t="shared" si="259"/>
        <v>1+0,424357282413963i</v>
      </c>
      <c r="U283" s="4">
        <f t="shared" si="272"/>
        <v>1.0863144586802498</v>
      </c>
      <c r="V283" s="4">
        <f t="shared" si="273"/>
        <v>0.4013261339335521</v>
      </c>
      <c r="W283" t="str">
        <f t="shared" si="260"/>
        <v>1-0,111683956164635i</v>
      </c>
      <c r="X283" s="4">
        <f t="shared" si="274"/>
        <v>1.0062173254643274</v>
      </c>
      <c r="Y283" s="4">
        <f t="shared" si="275"/>
        <v>-0.11122304467658936</v>
      </c>
      <c r="Z283" t="str">
        <f t="shared" si="261"/>
        <v>0,999920189507401+0,015344472272423i</v>
      </c>
      <c r="AA283" s="4">
        <f t="shared" si="276"/>
        <v>1.0000379183880159</v>
      </c>
      <c r="AB283" s="4">
        <f t="shared" si="277"/>
        <v>1.5344492602037244E-2</v>
      </c>
      <c r="AC283" s="47" t="str">
        <f t="shared" si="278"/>
        <v>0,132969685584723-0,45768982434742i</v>
      </c>
      <c r="AD283" s="20">
        <f t="shared" si="279"/>
        <v>-6.4366639525152713</v>
      </c>
      <c r="AE283" s="43">
        <f t="shared" si="280"/>
        <v>-73.800173212352306</v>
      </c>
      <c r="AF283" t="str">
        <f t="shared" si="262"/>
        <v>171,265703090588</v>
      </c>
      <c r="AG283" t="str">
        <f t="shared" si="263"/>
        <v>1+124,084667038162i</v>
      </c>
      <c r="AH283">
        <f t="shared" si="281"/>
        <v>124.08869647945991</v>
      </c>
      <c r="AI283">
        <f t="shared" si="282"/>
        <v>1.5627374878143843</v>
      </c>
      <c r="AJ283" t="str">
        <f t="shared" si="264"/>
        <v>1+0,424357282413963i</v>
      </c>
      <c r="AK283">
        <f t="shared" si="283"/>
        <v>1.0863144586802498</v>
      </c>
      <c r="AL283">
        <f t="shared" si="284"/>
        <v>0.4013261339335521</v>
      </c>
      <c r="AM283" t="str">
        <f t="shared" si="265"/>
        <v>1-0,0352848199043247i</v>
      </c>
      <c r="AN283">
        <f t="shared" si="285"/>
        <v>1.0006223156194751</v>
      </c>
      <c r="AO283">
        <f t="shared" si="286"/>
        <v>-3.5270187415367756E-2</v>
      </c>
      <c r="AP283" s="41" t="str">
        <f t="shared" si="287"/>
        <v>0,54826475610155-1,39648086472038i</v>
      </c>
      <c r="AQ283">
        <f t="shared" si="288"/>
        <v>3.5232784700481727</v>
      </c>
      <c r="AR283" s="43">
        <f t="shared" si="289"/>
        <v>-68.564801737482512</v>
      </c>
      <c r="AS283" t="str">
        <f t="shared" si="266"/>
        <v>-0,0000166666666666667</v>
      </c>
      <c r="AT283" t="str">
        <f t="shared" si="267"/>
        <v>0,0000430251133558602i</v>
      </c>
      <c r="AU283">
        <f t="shared" si="290"/>
        <v>4.3025113355860203E-5</v>
      </c>
      <c r="AV283">
        <f t="shared" si="291"/>
        <v>1.5707963267948966</v>
      </c>
      <c r="AW283" t="str">
        <f t="shared" si="268"/>
        <v>1+0,199372655437865i</v>
      </c>
      <c r="AX283">
        <f t="shared" si="292"/>
        <v>1.0196810558877445</v>
      </c>
      <c r="AY283">
        <f t="shared" si="293"/>
        <v>0.19679227121527018</v>
      </c>
      <c r="AZ283" t="str">
        <f t="shared" si="269"/>
        <v>1+9,26176608443173i</v>
      </c>
      <c r="BA283">
        <f t="shared" si="294"/>
        <v>9.3155950428692353</v>
      </c>
      <c r="BB283">
        <f t="shared" si="295"/>
        <v>1.4632422111594032</v>
      </c>
      <c r="BC283" s="41" t="str">
        <f t="shared" si="296"/>
        <v>-3,37629928772856+1,06051241709087i</v>
      </c>
      <c r="BD283">
        <f t="shared" si="297"/>
        <v>10.977459533227901</v>
      </c>
      <c r="BE283" s="43">
        <f t="shared" si="298"/>
        <v>162.56223652339537</v>
      </c>
      <c r="BF283" s="41" t="str">
        <f t="shared" si="299"/>
        <v>0,0364402871673872+1,68631383060407i</v>
      </c>
      <c r="BG283" s="20">
        <f t="shared" si="300"/>
        <v>4.5407955807126195</v>
      </c>
      <c r="BH283" s="43">
        <f t="shared" si="301"/>
        <v>88.762063311043065</v>
      </c>
      <c r="BI283" s="41" t="str">
        <f t="shared" si="255"/>
        <v>-0,370120608246578+5,29637893058097i</v>
      </c>
      <c r="BJ283" s="20">
        <f t="shared" si="302"/>
        <v>14.500738003276068</v>
      </c>
      <c r="BK283" s="43">
        <f t="shared" si="256"/>
        <v>93.997434785912859</v>
      </c>
      <c r="BL283">
        <f t="shared" si="303"/>
        <v>4.5407955807126195</v>
      </c>
      <c r="BM283" s="43">
        <f t="shared" si="304"/>
        <v>88.762063311043065</v>
      </c>
    </row>
    <row r="284" spans="14:65" x14ac:dyDescent="0.25">
      <c r="N284" s="9">
        <v>66</v>
      </c>
      <c r="O284" s="34">
        <f t="shared" ref="O284:O318" si="305">10^(3+(N284/100))</f>
        <v>4570.8818961487532</v>
      </c>
      <c r="P284" s="33" t="str">
        <f t="shared" si="257"/>
        <v>54,631621870174</v>
      </c>
      <c r="Q284" s="4" t="str">
        <f t="shared" si="258"/>
        <v>1+128,201864306436i</v>
      </c>
      <c r="R284" s="4">
        <f t="shared" si="270"/>
        <v>128.20576434640461</v>
      </c>
      <c r="S284" s="4">
        <f t="shared" si="271"/>
        <v>1.5629962864045517</v>
      </c>
      <c r="T284" s="4" t="str">
        <f t="shared" si="259"/>
        <v>1+0,434241833317513i</v>
      </c>
      <c r="U284" s="4">
        <f t="shared" si="272"/>
        <v>1.0902137266623251</v>
      </c>
      <c r="V284" s="4">
        <f t="shared" si="273"/>
        <v>0.40967244907257488</v>
      </c>
      <c r="W284" t="str">
        <f t="shared" si="260"/>
        <v>1-0,114285409693462i</v>
      </c>
      <c r="X284" s="4">
        <f t="shared" si="274"/>
        <v>1.0065093913465499</v>
      </c>
      <c r="Y284" s="4">
        <f t="shared" si="275"/>
        <v>-0.11379170647850108</v>
      </c>
      <c r="Z284" t="str">
        <f t="shared" si="261"/>
        <v>0,999916428154766+0,0157018909466168i</v>
      </c>
      <c r="AA284" s="4">
        <f t="shared" si="276"/>
        <v>1.0000397055482773</v>
      </c>
      <c r="AB284" s="4">
        <f t="shared" si="277"/>
        <v>1.5701912729157115E-2</v>
      </c>
      <c r="AC284" s="47" t="str">
        <f t="shared" si="278"/>
        <v>0,132797503564143-0,448317609936309i</v>
      </c>
      <c r="AD284" s="20">
        <f t="shared" si="279"/>
        <v>-6.6030244939459726</v>
      </c>
      <c r="AE284" s="43">
        <f t="shared" si="280"/>
        <v>-73.500026145427952</v>
      </c>
      <c r="AF284" t="str">
        <f t="shared" si="262"/>
        <v>171,265703090588</v>
      </c>
      <c r="AG284" t="str">
        <f t="shared" si="263"/>
        <v>1+126,974970229642i</v>
      </c>
      <c r="AH284">
        <f t="shared" si="281"/>
        <v>126.97890795253545</v>
      </c>
      <c r="AI284">
        <f t="shared" si="282"/>
        <v>1.5629209217122708</v>
      </c>
      <c r="AJ284" t="str">
        <f t="shared" si="264"/>
        <v>1+0,434241833317513i</v>
      </c>
      <c r="AK284">
        <f t="shared" si="283"/>
        <v>1.0902137266623251</v>
      </c>
      <c r="AL284">
        <f t="shared" si="284"/>
        <v>0.40967244907257488</v>
      </c>
      <c r="AM284" t="str">
        <f t="shared" si="265"/>
        <v>1-0,036106708941984i</v>
      </c>
      <c r="AN284">
        <f t="shared" si="285"/>
        <v>1.0006516349012882</v>
      </c>
      <c r="AO284">
        <f t="shared" si="286"/>
        <v>-3.6091030498978688E-2</v>
      </c>
      <c r="AP284" s="41" t="str">
        <f t="shared" si="287"/>
        <v>0,547765758141639-1,36564883161822i</v>
      </c>
      <c r="AQ284">
        <f t="shared" si="288"/>
        <v>3.3546673836031511</v>
      </c>
      <c r="AR284" s="43">
        <f t="shared" si="289"/>
        <v>-68.144133938032368</v>
      </c>
      <c r="AS284" t="str">
        <f t="shared" si="266"/>
        <v>-0,0000166666666666667</v>
      </c>
      <c r="AT284" t="str">
        <f t="shared" si="267"/>
        <v>0,0000440272969891368i</v>
      </c>
      <c r="AU284">
        <f t="shared" si="290"/>
        <v>4.4027296989136799E-5</v>
      </c>
      <c r="AV284">
        <f t="shared" si="291"/>
        <v>1.5707963267948966</v>
      </c>
      <c r="AW284" t="str">
        <f t="shared" si="268"/>
        <v>1+0,204016641161973i</v>
      </c>
      <c r="AX284">
        <f t="shared" si="292"/>
        <v>1.0205992307811198</v>
      </c>
      <c r="AY284">
        <f t="shared" si="293"/>
        <v>0.20125471470935549</v>
      </c>
      <c r="AZ284" t="str">
        <f t="shared" si="269"/>
        <v>1+9,47750033034255i</v>
      </c>
      <c r="BA284">
        <f t="shared" si="294"/>
        <v>9.5301108341741312</v>
      </c>
      <c r="BB284">
        <f t="shared" si="295"/>
        <v>1.4656722374139746</v>
      </c>
      <c r="BC284" s="41" t="str">
        <f t="shared" si="296"/>
        <v>-3,37022709272087+1,06613544115377i</v>
      </c>
      <c r="BD284">
        <f t="shared" si="297"/>
        <v>10.967388823973565</v>
      </c>
      <c r="BE284" s="43">
        <f t="shared" si="298"/>
        <v>162.44578759336159</v>
      </c>
      <c r="BF284" s="41" t="str">
        <f t="shared" si="299"/>
        <v>0,0304095484888796+1,65251228019769i</v>
      </c>
      <c r="BG284" s="20">
        <f t="shared" si="300"/>
        <v>4.3643643300275796</v>
      </c>
      <c r="BH284" s="43">
        <f t="shared" si="301"/>
        <v>88.945761447933634</v>
      </c>
      <c r="BI284" s="41" t="str">
        <f t="shared" si="255"/>
        <v>-0,390128378995318+5,18653917966759i</v>
      </c>
      <c r="BJ284" s="20">
        <f t="shared" si="302"/>
        <v>14.322056207576715</v>
      </c>
      <c r="BK284" s="43">
        <f t="shared" si="256"/>
        <v>94.301653655329218</v>
      </c>
      <c r="BL284">
        <f t="shared" si="303"/>
        <v>4.3643643300275796</v>
      </c>
      <c r="BM284" s="43">
        <f t="shared" si="304"/>
        <v>88.945761447933634</v>
      </c>
    </row>
    <row r="285" spans="14:65" x14ac:dyDescent="0.25">
      <c r="N285" s="9">
        <v>67</v>
      </c>
      <c r="O285" s="34">
        <f t="shared" si="305"/>
        <v>4677.3514128719844</v>
      </c>
      <c r="P285" s="33" t="str">
        <f t="shared" si="257"/>
        <v>54,631621870174</v>
      </c>
      <c r="Q285" s="4" t="str">
        <f t="shared" si="258"/>
        <v>1+131,188069342104i</v>
      </c>
      <c r="R285" s="4">
        <f t="shared" si="270"/>
        <v>131.19188060893362</v>
      </c>
      <c r="S285" s="4">
        <f t="shared" si="271"/>
        <v>1.5631738300430638</v>
      </c>
      <c r="T285" s="4" t="str">
        <f t="shared" si="259"/>
        <v>1+0,444356624988959i</v>
      </c>
      <c r="U285" s="4">
        <f t="shared" si="272"/>
        <v>1.0942818696165895</v>
      </c>
      <c r="V285" s="4">
        <f t="shared" si="273"/>
        <v>0.41815099341702422</v>
      </c>
      <c r="W285" t="str">
        <f t="shared" si="260"/>
        <v>1-0,116947458859254i</v>
      </c>
      <c r="X285" s="4">
        <f t="shared" si="274"/>
        <v>1.0068151310611282</v>
      </c>
      <c r="Y285" s="4">
        <f t="shared" si="275"/>
        <v>-0.11641863954060995</v>
      </c>
      <c r="Z285" t="str">
        <f t="shared" si="261"/>
        <v>0,999912489535042+0,0160676349712296i</v>
      </c>
      <c r="AA285" s="4">
        <f t="shared" si="276"/>
        <v>1.0000415769465458</v>
      </c>
      <c r="AB285" s="4">
        <f t="shared" si="277"/>
        <v>1.6067658310482132E-2</v>
      </c>
      <c r="AC285" s="47" t="str">
        <f t="shared" si="278"/>
        <v>0,132631603441314-0,43918297438152i</v>
      </c>
      <c r="AD285" s="20">
        <f t="shared" si="279"/>
        <v>-6.7680396515380847</v>
      </c>
      <c r="AE285" s="43">
        <f t="shared" si="280"/>
        <v>-73.195881694950444</v>
      </c>
      <c r="AF285" t="str">
        <f t="shared" si="262"/>
        <v>171,265703090588</v>
      </c>
      <c r="AG285" t="str">
        <f t="shared" si="263"/>
        <v>1+129,93259723105i</v>
      </c>
      <c r="AH285">
        <f t="shared" si="281"/>
        <v>129.93644532311274</v>
      </c>
      <c r="AI285">
        <f t="shared" si="282"/>
        <v>1.5631001806569977</v>
      </c>
      <c r="AJ285" t="str">
        <f t="shared" si="264"/>
        <v>1+0,444356624988959i</v>
      </c>
      <c r="AK285">
        <f t="shared" si="283"/>
        <v>1.0942818696165895</v>
      </c>
      <c r="AL285">
        <f t="shared" si="284"/>
        <v>0.41815099341702422</v>
      </c>
      <c r="AM285" t="str">
        <f t="shared" si="265"/>
        <v>1-0,036947742234653i</v>
      </c>
      <c r="AN285">
        <f t="shared" si="285"/>
        <v>1.0006823350375673</v>
      </c>
      <c r="AO285">
        <f t="shared" si="286"/>
        <v>-3.6930943098919908E-2</v>
      </c>
      <c r="AP285" s="41" t="str">
        <f t="shared" si="287"/>
        <v>0,547289216066371-1,33554052978168i</v>
      </c>
      <c r="AQ285">
        <f t="shared" si="288"/>
        <v>3.1872971451878191</v>
      </c>
      <c r="AR285" s="43">
        <f t="shared" si="289"/>
        <v>-67.716743358790296</v>
      </c>
      <c r="AS285" t="str">
        <f t="shared" si="266"/>
        <v>-0,0000166666666666667</v>
      </c>
      <c r="AT285" t="str">
        <f t="shared" si="267"/>
        <v>0,0000450528244780472i</v>
      </c>
      <c r="AU285">
        <f t="shared" si="290"/>
        <v>4.5052824478047197E-5</v>
      </c>
      <c r="AV285">
        <f t="shared" si="291"/>
        <v>1.5707963267948966</v>
      </c>
      <c r="AW285" t="str">
        <f t="shared" si="268"/>
        <v>1+0,208768799209704i</v>
      </c>
      <c r="AX285">
        <f t="shared" si="292"/>
        <v>1.0215597934156677</v>
      </c>
      <c r="AY285">
        <f t="shared" si="293"/>
        <v>0.20581270453591979</v>
      </c>
      <c r="AZ285" t="str">
        <f t="shared" si="269"/>
        <v>1+9,69825967237806i</v>
      </c>
      <c r="BA285">
        <f t="shared" si="294"/>
        <v>9.7496790035813259</v>
      </c>
      <c r="BB285">
        <f t="shared" si="295"/>
        <v>1.4680481542270607</v>
      </c>
      <c r="BC285" s="41" t="str">
        <f t="shared" si="296"/>
        <v>-3,36389208966242+1,07221182300105i</v>
      </c>
      <c r="BD285">
        <f t="shared" si="297"/>
        <v>10.957065042017248</v>
      </c>
      <c r="BE285" s="43">
        <f t="shared" si="298"/>
        <v>162.32076401909998</v>
      </c>
      <c r="BF285" s="41" t="str">
        <f t="shared" si="299"/>
        <v>0,0247387759371538+1,61957330674977i</v>
      </c>
      <c r="BG285" s="20">
        <f t="shared" si="300"/>
        <v>4.1890253904791557</v>
      </c>
      <c r="BH285" s="43">
        <f t="shared" si="301"/>
        <v>89.124882324149553</v>
      </c>
      <c r="BI285" s="41" t="str">
        <f t="shared" si="255"/>
        <v>-0,409039518554209+5,07942419162349i</v>
      </c>
      <c r="BJ285" s="20">
        <f t="shared" si="302"/>
        <v>14.144362187205068</v>
      </c>
      <c r="BK285" s="43">
        <f t="shared" si="256"/>
        <v>94.6040206603097</v>
      </c>
      <c r="BL285">
        <f t="shared" si="303"/>
        <v>4.1890253904791557</v>
      </c>
      <c r="BM285" s="43">
        <f t="shared" si="304"/>
        <v>89.124882324149553</v>
      </c>
    </row>
    <row r="286" spans="14:65" x14ac:dyDescent="0.25">
      <c r="N286" s="9">
        <v>68</v>
      </c>
      <c r="O286" s="34">
        <f t="shared" si="305"/>
        <v>4786.3009232263848</v>
      </c>
      <c r="P286" s="33" t="str">
        <f t="shared" si="257"/>
        <v>54,631621870174</v>
      </c>
      <c r="Q286" s="4" t="str">
        <f t="shared" si="258"/>
        <v>1+134,243832028617i</v>
      </c>
      <c r="R286" s="4">
        <f t="shared" si="270"/>
        <v>134.24755654285681</v>
      </c>
      <c r="S286" s="4">
        <f t="shared" si="271"/>
        <v>1.5633473327593195</v>
      </c>
      <c r="T286" s="4" t="str">
        <f t="shared" si="259"/>
        <v>1+0,454707020424728i</v>
      </c>
      <c r="U286" s="4">
        <f t="shared" si="272"/>
        <v>1.098525591155497</v>
      </c>
      <c r="V286" s="4">
        <f t="shared" si="273"/>
        <v>0.42676138546585846</v>
      </c>
      <c r="W286" t="str">
        <f t="shared" si="260"/>
        <v>1-0,119671515115717i</v>
      </c>
      <c r="X286" s="4">
        <f t="shared" si="274"/>
        <v>1.0071351803656208</v>
      </c>
      <c r="Y286" s="4">
        <f t="shared" si="275"/>
        <v>-0.11910509159625059</v>
      </c>
      <c r="Z286" t="str">
        <f t="shared" si="261"/>
        <v>0,999908365293889+0,0164418982685844i</v>
      </c>
      <c r="AA286" s="4">
        <f t="shared" si="276"/>
        <v>1.0000435365539702</v>
      </c>
      <c r="AB286" s="4">
        <f t="shared" si="277"/>
        <v>1.6441923275742589E-2</v>
      </c>
      <c r="AC286" s="47" t="str">
        <f t="shared" si="278"/>
        <v>0,132471633449558-0,430281080605445i</v>
      </c>
      <c r="AD286" s="20">
        <f t="shared" si="279"/>
        <v>-6.9316651600789703</v>
      </c>
      <c r="AE286" s="43">
        <f t="shared" si="280"/>
        <v>-72.887849711556072</v>
      </c>
      <c r="AF286" t="str">
        <f t="shared" si="262"/>
        <v>171,265703090588</v>
      </c>
      <c r="AG286" t="str">
        <f t="shared" si="263"/>
        <v>1+132,959116215371i</v>
      </c>
      <c r="AH286">
        <f t="shared" si="281"/>
        <v>132.96287671667056</v>
      </c>
      <c r="AI286">
        <f t="shared" si="282"/>
        <v>1.5632753596479216</v>
      </c>
      <c r="AJ286" t="str">
        <f t="shared" si="264"/>
        <v>1+0,454707020424728i</v>
      </c>
      <c r="AK286">
        <f t="shared" si="283"/>
        <v>1.098525591155497</v>
      </c>
      <c r="AL286">
        <f t="shared" si="284"/>
        <v>0.42676138546585846</v>
      </c>
      <c r="AM286" t="str">
        <f t="shared" si="265"/>
        <v>1-0,0378083657093161i</v>
      </c>
      <c r="AN286">
        <f t="shared" si="285"/>
        <v>1.0007144810172426</v>
      </c>
      <c r="AO286">
        <f t="shared" si="286"/>
        <v>-3.7790365805111123E-2</v>
      </c>
      <c r="AP286" s="41" t="str">
        <f t="shared" si="287"/>
        <v>0,546834119434029-1,30614001900387i</v>
      </c>
      <c r="AQ286">
        <f t="shared" si="288"/>
        <v>3.0212072419853437</v>
      </c>
      <c r="AR286" s="43">
        <f t="shared" si="289"/>
        <v>-67.282682545160725</v>
      </c>
      <c r="AS286" t="str">
        <f t="shared" si="266"/>
        <v>-0,0000166666666666667</v>
      </c>
      <c r="AT286" t="str">
        <f t="shared" si="267"/>
        <v>0,0000461022395708405i</v>
      </c>
      <c r="AU286">
        <f t="shared" si="290"/>
        <v>4.6102239570840501E-5</v>
      </c>
      <c r="AV286">
        <f t="shared" si="291"/>
        <v>1.5707963267948966</v>
      </c>
      <c r="AW286" t="str">
        <f t="shared" si="268"/>
        <v>1+0,213631649238158i</v>
      </c>
      <c r="AX286">
        <f t="shared" si="292"/>
        <v>1.0225646588632993</v>
      </c>
      <c r="AY286">
        <f t="shared" si="293"/>
        <v>0.21046789949724495</v>
      </c>
      <c r="AZ286" t="str">
        <f t="shared" si="269"/>
        <v>1+9,92416116006351i</v>
      </c>
      <c r="BA286">
        <f t="shared" si="294"/>
        <v>9.9744160095172063</v>
      </c>
      <c r="BB286">
        <f t="shared" si="295"/>
        <v>1.4703711139865581</v>
      </c>
      <c r="BC286" s="41" t="str">
        <f t="shared" si="296"/>
        <v>-3,35728400277897+1,07873745529582i</v>
      </c>
      <c r="BD286">
        <f t="shared" si="297"/>
        <v>10.946468503789264</v>
      </c>
      <c r="BE286" s="43">
        <f t="shared" si="298"/>
        <v>162.18713678520325</v>
      </c>
      <c r="BF286" s="41" t="str">
        <f t="shared" si="299"/>
        <v>0,0194154221520528+1,58747790138137i</v>
      </c>
      <c r="BG286" s="20">
        <f t="shared" si="300"/>
        <v>4.0148033437103168</v>
      </c>
      <c r="BH286" s="43">
        <f t="shared" si="301"/>
        <v>89.299287073647164</v>
      </c>
      <c r="BI286" s="41" t="str">
        <f t="shared" si="255"/>
        <v>-0,426895280989322+4,97497343765831i</v>
      </c>
      <c r="BJ286" s="20">
        <f t="shared" si="302"/>
        <v>13.967675745774613</v>
      </c>
      <c r="BK286" s="43">
        <f t="shared" si="256"/>
        <v>94.904454240042526</v>
      </c>
      <c r="BL286">
        <f t="shared" si="303"/>
        <v>4.0148033437103168</v>
      </c>
      <c r="BM286" s="43">
        <f t="shared" si="304"/>
        <v>89.299287073647164</v>
      </c>
    </row>
    <row r="287" spans="14:65" x14ac:dyDescent="0.25">
      <c r="N287" s="9">
        <v>69</v>
      </c>
      <c r="O287" s="34">
        <f t="shared" si="305"/>
        <v>4897.7881936844633</v>
      </c>
      <c r="P287" s="33" t="str">
        <f t="shared" si="257"/>
        <v>54,631621870174</v>
      </c>
      <c r="Q287" s="4" t="str">
        <f t="shared" si="258"/>
        <v>1+137,370772571799i</v>
      </c>
      <c r="R287" s="4">
        <f t="shared" si="270"/>
        <v>137.37441230801653</v>
      </c>
      <c r="S287" s="4">
        <f t="shared" si="271"/>
        <v>1.5635168865049474</v>
      </c>
      <c r="T287" s="4" t="str">
        <f t="shared" si="259"/>
        <v>1+0,465298507541487i</v>
      </c>
      <c r="U287" s="4">
        <f t="shared" si="272"/>
        <v>1.1029518126918942</v>
      </c>
      <c r="V287" s="4">
        <f t="shared" si="273"/>
        <v>0.43550308260645587</v>
      </c>
      <c r="W287" t="str">
        <f t="shared" si="260"/>
        <v>1-0,122459022793534i</v>
      </c>
      <c r="X287" s="4">
        <f t="shared" si="274"/>
        <v>1.0074702041567023</v>
      </c>
      <c r="Y287" s="4">
        <f t="shared" si="275"/>
        <v>-0.12185233184882893</v>
      </c>
      <c r="Z287" t="str">
        <f t="shared" si="261"/>
        <v>0,999904046683239+0,0168248792780355i</v>
      </c>
      <c r="AA287" s="4">
        <f t="shared" si="276"/>
        <v>1.0000455885289616</v>
      </c>
      <c r="AB287" s="4">
        <f t="shared" si="277"/>
        <v>1.6824906072227998E-2</v>
      </c>
      <c r="AC287" s="47" t="str">
        <f t="shared" si="278"/>
        <v>0,132317254392463-0,421607214366079i</v>
      </c>
      <c r="AD287" s="20">
        <f t="shared" si="279"/>
        <v>-7.0938560512337254</v>
      </c>
      <c r="AE287" s="43">
        <f t="shared" si="280"/>
        <v>-72.576050643289349</v>
      </c>
      <c r="AF287" t="str">
        <f t="shared" si="262"/>
        <v>171,265703090588</v>
      </c>
      <c r="AG287" t="str">
        <f t="shared" si="263"/>
        <v>1+136,056131883032i</v>
      </c>
      <c r="AH287">
        <f t="shared" si="281"/>
        <v>136.05980678721031</v>
      </c>
      <c r="AI287">
        <f t="shared" si="282"/>
        <v>1.5634465515242311</v>
      </c>
      <c r="AJ287" t="str">
        <f t="shared" si="264"/>
        <v>1+0,465298507541487i</v>
      </c>
      <c r="AK287">
        <f t="shared" si="283"/>
        <v>1.1029518126918942</v>
      </c>
      <c r="AL287">
        <f t="shared" si="284"/>
        <v>0.43550308260645587</v>
      </c>
      <c r="AM287" t="str">
        <f t="shared" si="265"/>
        <v>1-0,0386890356799312i</v>
      </c>
      <c r="AN287">
        <f t="shared" si="285"/>
        <v>1.0007481408835308</v>
      </c>
      <c r="AO287">
        <f t="shared" si="286"/>
        <v>-3.8669749213740529E-2</v>
      </c>
      <c r="AP287" s="41" t="str">
        <f t="shared" si="287"/>
        <v>0,546399503259195-1,27743173278234i</v>
      </c>
      <c r="AQ287">
        <f t="shared" si="288"/>
        <v>2.8564376530094027</v>
      </c>
      <c r="AR287" s="43">
        <f t="shared" si="289"/>
        <v>-66.842013723110625</v>
      </c>
      <c r="AS287" t="str">
        <f t="shared" si="266"/>
        <v>-0,0000166666666666667</v>
      </c>
      <c r="AT287" t="str">
        <f t="shared" si="267"/>
        <v>0,0000471760986812896i</v>
      </c>
      <c r="AU287">
        <f t="shared" si="290"/>
        <v>4.7176098681289597E-5</v>
      </c>
      <c r="AV287">
        <f t="shared" si="291"/>
        <v>1.5707963267948966</v>
      </c>
      <c r="AW287" t="str">
        <f t="shared" si="268"/>
        <v>1+0,218607769594787i</v>
      </c>
      <c r="AX287">
        <f t="shared" si="292"/>
        <v>1.0236158248714249</v>
      </c>
      <c r="AY287">
        <f t="shared" si="293"/>
        <v>0.21522196040729577</v>
      </c>
      <c r="AZ287" t="str">
        <f t="shared" si="269"/>
        <v>1+10,1553245693578i</v>
      </c>
      <c r="BA287">
        <f t="shared" si="294"/>
        <v>10.204441048337836</v>
      </c>
      <c r="BB287">
        <f t="shared" si="295"/>
        <v>1.472642248021409</v>
      </c>
      <c r="BC287" s="41" t="str">
        <f t="shared" si="296"/>
        <v>-3,35039225547569+1,0857080213253i</v>
      </c>
      <c r="BD287">
        <f t="shared" si="297"/>
        <v>10.935579122397147</v>
      </c>
      <c r="BE287" s="43">
        <f t="shared" si="298"/>
        <v>162.04487555441474</v>
      </c>
      <c r="BF287" s="41" t="str">
        <f t="shared" si="299"/>
        <v>0,0144276301035525+1,55620745031843i</v>
      </c>
      <c r="BG287" s="20">
        <f t="shared" si="300"/>
        <v>3.8417230711634334</v>
      </c>
      <c r="BH287" s="43">
        <f t="shared" si="301"/>
        <v>89.468824911125395</v>
      </c>
      <c r="BI287" s="41" t="str">
        <f t="shared" si="255"/>
        <v>-0,443734785138107+4,87312770794951i</v>
      </c>
      <c r="BJ287" s="20">
        <f t="shared" si="302"/>
        <v>13.792016775406546</v>
      </c>
      <c r="BK287" s="43">
        <f t="shared" si="256"/>
        <v>95.202861831304105</v>
      </c>
      <c r="BL287">
        <f t="shared" si="303"/>
        <v>3.8417230711634334</v>
      </c>
      <c r="BM287" s="43">
        <f t="shared" si="304"/>
        <v>89.468824911125395</v>
      </c>
    </row>
    <row r="288" spans="14:65" x14ac:dyDescent="0.25">
      <c r="N288" s="9">
        <v>70</v>
      </c>
      <c r="O288" s="34">
        <f t="shared" si="305"/>
        <v>5011.8723362727324</v>
      </c>
      <c r="P288" s="33" t="str">
        <f t="shared" si="257"/>
        <v>54,631621870174</v>
      </c>
      <c r="Q288" s="4" t="str">
        <f t="shared" si="258"/>
        <v>1+140,570548916915i</v>
      </c>
      <c r="R288" s="4">
        <f t="shared" si="270"/>
        <v>140.57410580474198</v>
      </c>
      <c r="S288" s="4">
        <f t="shared" si="271"/>
        <v>1.5636825811405699</v>
      </c>
      <c r="T288" s="4" t="str">
        <f t="shared" si="259"/>
        <v>1+0,476136702085898i</v>
      </c>
      <c r="U288" s="4">
        <f t="shared" si="272"/>
        <v>1.1075676769720373</v>
      </c>
      <c r="V288" s="4">
        <f t="shared" si="273"/>
        <v>0.44437537464210414</v>
      </c>
      <c r="W288" t="str">
        <f t="shared" si="260"/>
        <v>1-0,125311459866172i</v>
      </c>
      <c r="X288" s="4">
        <f t="shared" si="274"/>
        <v>1.0078208977659628</v>
      </c>
      <c r="Y288" s="4">
        <f t="shared" si="275"/>
        <v>-0.12466165095785153</v>
      </c>
      <c r="Z288" t="str">
        <f t="shared" si="261"/>
        <v>0,99989952454274+0,0172167810611834i</v>
      </c>
      <c r="AA288" s="4">
        <f t="shared" si="276"/>
        <v>1.0000477372260317</v>
      </c>
      <c r="AB288" s="4">
        <f t="shared" si="277"/>
        <v>1.7216809770039483E-2</v>
      </c>
      <c r="AC288" s="47" t="str">
        <f t="shared" si="278"/>
        <v>0,132168138925444-0,413156781784484i</v>
      </c>
      <c r="AD288" s="20">
        <f t="shared" si="279"/>
        <v>-7.2545667002349825</v>
      </c>
      <c r="AE288" s="43">
        <f t="shared" si="280"/>
        <v>-72.260615914460971</v>
      </c>
      <c r="AF288" t="str">
        <f t="shared" si="262"/>
        <v>171,265703090588</v>
      </c>
      <c r="AG288" t="str">
        <f t="shared" si="263"/>
        <v>1+139,225286312733i</v>
      </c>
      <c r="AH288">
        <f t="shared" si="281"/>
        <v>139.2288775680623</v>
      </c>
      <c r="AI288">
        <f t="shared" si="282"/>
        <v>1.5636138470139651</v>
      </c>
      <c r="AJ288" t="str">
        <f t="shared" si="264"/>
        <v>1+0,476136702085898i</v>
      </c>
      <c r="AK288">
        <f t="shared" si="283"/>
        <v>1.1075676769720373</v>
      </c>
      <c r="AL288">
        <f t="shared" si="284"/>
        <v>0.44437537464210414</v>
      </c>
      <c r="AM288" t="str">
        <f t="shared" si="265"/>
        <v>1-0,0395902190893737i</v>
      </c>
      <c r="AN288">
        <f t="shared" si="285"/>
        <v>1.0007833858770561</v>
      </c>
      <c r="AO288">
        <f t="shared" si="286"/>
        <v>-3.95695541421026E-2</v>
      </c>
      <c r="AP288" s="41" t="str">
        <f t="shared" si="287"/>
        <v>0,545984445968719-1,2494004701706i</v>
      </c>
      <c r="AQ288">
        <f t="shared" si="288"/>
        <v>2.6930287937579704</v>
      </c>
      <c r="AR288" s="43">
        <f t="shared" si="289"/>
        <v>-66.394809185134093</v>
      </c>
      <c r="AS288" t="str">
        <f t="shared" si="266"/>
        <v>-0,0000166666666666667</v>
      </c>
      <c r="AT288" t="str">
        <f t="shared" si="267"/>
        <v>0,000048274971183709i</v>
      </c>
      <c r="AU288">
        <f t="shared" si="290"/>
        <v>4.8274971183709E-5</v>
      </c>
      <c r="AV288">
        <f t="shared" si="291"/>
        <v>1.5707963267948966</v>
      </c>
      <c r="AW288" t="str">
        <f t="shared" si="268"/>
        <v>1+0,223699798684472i</v>
      </c>
      <c r="AX288">
        <f t="shared" si="292"/>
        <v>1.0247153750829903</v>
      </c>
      <c r="AY288">
        <f t="shared" si="293"/>
        <v>0.22007654795961962</v>
      </c>
      <c r="AZ288" t="str">
        <f t="shared" si="269"/>
        <v>1+10,3918724661605i</v>
      </c>
      <c r="BA288">
        <f t="shared" si="294"/>
        <v>10.439876117701049</v>
      </c>
      <c r="BB288">
        <f t="shared" si="295"/>
        <v>1.4748626667485409</v>
      </c>
      <c r="BC288" s="41" t="str">
        <f t="shared" si="296"/>
        <v>-3,34320597112334+1,09311896909836i</v>
      </c>
      <c r="BD288">
        <f t="shared" si="297"/>
        <v>10.924376382631678</v>
      </c>
      <c r="BE288" s="43">
        <f t="shared" si="298"/>
        <v>161.89394879820634</v>
      </c>
      <c r="BF288" s="41" t="str">
        <f t="shared" si="299"/>
        <v>0,00976420413244772+1,52574371964182i</v>
      </c>
      <c r="BG288" s="20">
        <f t="shared" si="300"/>
        <v>3.6698096823966955</v>
      </c>
      <c r="BH288" s="43">
        <f t="shared" si="301"/>
        <v>89.633332883745382</v>
      </c>
      <c r="BI288" s="41" t="str">
        <f t="shared" si="255"/>
        <v>-0,459595105959197+4,77382906691972i</v>
      </c>
      <c r="BJ288" s="20">
        <f t="shared" si="302"/>
        <v>13.617405176389639</v>
      </c>
      <c r="BK288" s="43">
        <f t="shared" si="256"/>
        <v>95.499139613072245</v>
      </c>
      <c r="BL288">
        <f t="shared" si="303"/>
        <v>3.6698096823966955</v>
      </c>
      <c r="BM288" s="43">
        <f t="shared" si="304"/>
        <v>89.633332883745382</v>
      </c>
    </row>
    <row r="289" spans="14:65" x14ac:dyDescent="0.25">
      <c r="N289" s="9">
        <v>71</v>
      </c>
      <c r="O289" s="34">
        <f t="shared" si="305"/>
        <v>5128.6138399136489</v>
      </c>
      <c r="P289" s="33" t="str">
        <f t="shared" si="257"/>
        <v>54,631621870174</v>
      </c>
      <c r="Q289" s="4" t="str">
        <f t="shared" si="258"/>
        <v>1+143,844857627738i</v>
      </c>
      <c r="R289" s="4">
        <f t="shared" si="270"/>
        <v>143.84833355289251</v>
      </c>
      <c r="S289" s="4">
        <f t="shared" si="271"/>
        <v>1.563844504483263</v>
      </c>
      <c r="T289" s="4" t="str">
        <f t="shared" si="259"/>
        <v>1+0,487227350612167i</v>
      </c>
      <c r="U289" s="4">
        <f t="shared" si="272"/>
        <v>1.1123805514231861</v>
      </c>
      <c r="V289" s="4">
        <f t="shared" si="273"/>
        <v>0.45337737752786483</v>
      </c>
      <c r="W289" t="str">
        <f t="shared" si="260"/>
        <v>1-0,128230338733525i</v>
      </c>
      <c r="X289" s="4">
        <f t="shared" si="274"/>
        <v>1.0081879883095783</v>
      </c>
      <c r="Y289" s="4">
        <f t="shared" si="275"/>
        <v>-0.12753436099127441</v>
      </c>
      <c r="Z289" t="str">
        <f t="shared" si="261"/>
        <v>0,999894789280324+0,017617811409541i</v>
      </c>
      <c r="AA289" s="4">
        <f t="shared" si="276"/>
        <v>1.0000499872050426</v>
      </c>
      <c r="AB289" s="4">
        <f t="shared" si="277"/>
        <v>1.7617842169796193E-2</v>
      </c>
      <c r="AC289" s="47" t="str">
        <f t="shared" si="278"/>
        <v>0,132023970862355-0,404925306933454i</v>
      </c>
      <c r="AD289" s="20">
        <f t="shared" si="279"/>
        <v>-7.413750877165266</v>
      </c>
      <c r="AE289" s="43">
        <f t="shared" si="280"/>
        <v>-71.941688290717323</v>
      </c>
      <c r="AF289" t="str">
        <f t="shared" si="262"/>
        <v>171,265703090588</v>
      </c>
      <c r="AG289" t="str">
        <f t="shared" si="263"/>
        <v>1+142,4682598321i</v>
      </c>
      <c r="AH289">
        <f t="shared" si="281"/>
        <v>142.47176934251485</v>
      </c>
      <c r="AI289">
        <f t="shared" si="282"/>
        <v>1.5637773347819277</v>
      </c>
      <c r="AJ289" t="str">
        <f t="shared" si="264"/>
        <v>1+0,487227350612167i</v>
      </c>
      <c r="AK289">
        <f t="shared" si="283"/>
        <v>1.1123805514231861</v>
      </c>
      <c r="AL289">
        <f t="shared" si="284"/>
        <v>0.45337737752786483</v>
      </c>
      <c r="AM289" t="str">
        <f t="shared" si="265"/>
        <v>1-0,0405123937570157i</v>
      </c>
      <c r="AN289">
        <f t="shared" si="285"/>
        <v>1.0008202905856394</v>
      </c>
      <c r="AO289">
        <f t="shared" si="286"/>
        <v>-4.0490251847147184E-2</v>
      </c>
      <c r="AP289" s="41" t="str">
        <f t="shared" si="287"/>
        <v>0,54558806744955-1,22203138781653i</v>
      </c>
      <c r="AQ289">
        <f t="shared" si="288"/>
        <v>2.5310214559870552</v>
      </c>
      <c r="AR289" s="43">
        <f t="shared" si="289"/>
        <v>-65.941151664428048</v>
      </c>
      <c r="AS289" t="str">
        <f t="shared" si="266"/>
        <v>-0,0000166666666666667</v>
      </c>
      <c r="AT289" t="str">
        <f t="shared" si="267"/>
        <v>0,0000493994397148447i</v>
      </c>
      <c r="AU289">
        <f t="shared" si="290"/>
        <v>4.9399439714844701E-5</v>
      </c>
      <c r="AV289">
        <f t="shared" si="291"/>
        <v>1.5707963267948966</v>
      </c>
      <c r="AW289" t="str">
        <f t="shared" si="268"/>
        <v>1+0,228910436368435i</v>
      </c>
      <c r="AX289">
        <f t="shared" si="292"/>
        <v>1.0258654823505797</v>
      </c>
      <c r="AY289">
        <f t="shared" si="293"/>
        <v>0.22503332043760096</v>
      </c>
      <c r="AZ289" t="str">
        <f t="shared" si="269"/>
        <v>1+10,6339302712973i</v>
      </c>
      <c r="BA289">
        <f t="shared" si="294"/>
        <v>10.680846081411952</v>
      </c>
      <c r="BB289">
        <f t="shared" si="295"/>
        <v>1.4770334598372774</v>
      </c>
      <c r="BC289" s="41" t="str">
        <f t="shared" si="296"/>
        <v>-3,33571397496486+1,10096548450201i</v>
      </c>
      <c r="BD289">
        <f t="shared" si="297"/>
        <v>10.912839316342568</v>
      </c>
      <c r="BE289" s="43">
        <f t="shared" si="298"/>
        <v>161.73432393739211</v>
      </c>
      <c r="BF289" s="41" t="str">
        <f t="shared" si="299"/>
        <v>0,0054145820992042+1,49606884020121i</v>
      </c>
      <c r="BG289" s="20">
        <f t="shared" si="300"/>
        <v>3.4990884391773043</v>
      </c>
      <c r="BH289" s="43">
        <f t="shared" si="301"/>
        <v>89.792635646674782</v>
      </c>
      <c r="BI289" s="41" t="str">
        <f t="shared" si="255"/>
        <v>-0,474511362201445+4,67702080920341i</v>
      </c>
      <c r="BJ289" s="20">
        <f t="shared" si="302"/>
        <v>13.443860772329622</v>
      </c>
      <c r="BK289" s="43">
        <f t="shared" si="256"/>
        <v>95.793172272964057</v>
      </c>
      <c r="BL289">
        <f t="shared" si="303"/>
        <v>3.4990884391773043</v>
      </c>
      <c r="BM289" s="43">
        <f t="shared" si="304"/>
        <v>89.792635646674782</v>
      </c>
    </row>
    <row r="290" spans="14:65" x14ac:dyDescent="0.25">
      <c r="N290" s="9">
        <v>72</v>
      </c>
      <c r="O290" s="34">
        <f t="shared" si="305"/>
        <v>5248.0746024977261</v>
      </c>
      <c r="P290" s="33" t="str">
        <f t="shared" si="257"/>
        <v>54,631621870174</v>
      </c>
      <c r="Q290" s="4" t="str">
        <f t="shared" si="258"/>
        <v>1+147,195434786087i</v>
      </c>
      <c r="R290" s="4">
        <f t="shared" si="270"/>
        <v>147.19883159137228</v>
      </c>
      <c r="S290" s="4">
        <f t="shared" si="271"/>
        <v>1.5640027423529421</v>
      </c>
      <c r="T290" s="4" t="str">
        <f t="shared" si="259"/>
        <v>1+0,498576333528949i</v>
      </c>
      <c r="U290" s="4">
        <f t="shared" si="272"/>
        <v>1.1173980313009191</v>
      </c>
      <c r="V290" s="4">
        <f t="shared" si="273"/>
        <v>0.46250802736332181</v>
      </c>
      <c r="W290" t="str">
        <f t="shared" si="260"/>
        <v>1-0,131217207023803i</v>
      </c>
      <c r="X290" s="4">
        <f t="shared" si="274"/>
        <v>1.0085722360937404</v>
      </c>
      <c r="Y290" s="4">
        <f t="shared" si="275"/>
        <v>-0.13047179534139122</v>
      </c>
      <c r="Z290" t="str">
        <f t="shared" si="261"/>
        <v>0,999889830851866+0,0180281829547072i</v>
      </c>
      <c r="AA290" s="4">
        <f t="shared" si="276"/>
        <v>1.0000523432409034</v>
      </c>
      <c r="AB290" s="4">
        <f t="shared" si="277"/>
        <v>1.8028215912851836E-2</v>
      </c>
      <c r="AC290" s="47" t="str">
        <f t="shared" si="278"/>
        <v>0,131884444505745-0,396908429486317i</v>
      </c>
      <c r="AD290" s="20">
        <f t="shared" si="279"/>
        <v>-7.5713618028533416</v>
      </c>
      <c r="AE290" s="43">
        <f t="shared" si="280"/>
        <v>-71.619422227384163</v>
      </c>
      <c r="AF290" t="str">
        <f t="shared" si="262"/>
        <v>171,265703090588</v>
      </c>
      <c r="AG290" t="str">
        <f t="shared" si="263"/>
        <v>1+145,786771908622i</v>
      </c>
      <c r="AH290">
        <f t="shared" si="281"/>
        <v>145.79020153472788</v>
      </c>
      <c r="AI290">
        <f t="shared" si="282"/>
        <v>1.5639371014765191</v>
      </c>
      <c r="AJ290" t="str">
        <f t="shared" si="264"/>
        <v>1+0,498576333528949i</v>
      </c>
      <c r="AK290">
        <f t="shared" si="283"/>
        <v>1.1173980313009191</v>
      </c>
      <c r="AL290">
        <f t="shared" si="284"/>
        <v>0.46250802736332181</v>
      </c>
      <c r="AM290" t="str">
        <f t="shared" si="265"/>
        <v>1-0,0414560486320728i</v>
      </c>
      <c r="AN290">
        <f t="shared" si="285"/>
        <v>1.0008589331010562</v>
      </c>
      <c r="AO290">
        <f t="shared" si="286"/>
        <v>-4.1432324247736581E-2</v>
      </c>
      <c r="AP290" s="41" t="str">
        <f t="shared" si="287"/>
        <v>0,545209527184245-1,19530999218381i</v>
      </c>
      <c r="AQ290">
        <f t="shared" si="288"/>
        <v>2.3704567425768932</v>
      </c>
      <c r="AR290" s="43">
        <f t="shared" si="289"/>
        <v>-65.48113469450108</v>
      </c>
      <c r="AS290" t="str">
        <f t="shared" si="266"/>
        <v>-0,0000166666666666667</v>
      </c>
      <c r="AT290" t="str">
        <f t="shared" si="267"/>
        <v>0,0000505501004827962i</v>
      </c>
      <c r="AU290">
        <f t="shared" si="290"/>
        <v>5.0550100482796199E-5</v>
      </c>
      <c r="AV290">
        <f t="shared" si="291"/>
        <v>1.5707963267948966</v>
      </c>
      <c r="AW290" t="str">
        <f t="shared" si="268"/>
        <v>1+0,234242445395749i</v>
      </c>
      <c r="AX290">
        <f t="shared" si="292"/>
        <v>1.0270684121444786</v>
      </c>
      <c r="AY290">
        <f t="shared" si="293"/>
        <v>0.2300939312606006</v>
      </c>
      <c r="AZ290" t="str">
        <f t="shared" si="269"/>
        <v>1+10,8816263270207i</v>
      </c>
      <c r="BA290">
        <f t="shared" si="294"/>
        <v>10.927478735779356</v>
      </c>
      <c r="BB290">
        <f t="shared" si="295"/>
        <v>1.479155696389598</v>
      </c>
      <c r="BC290" s="41" t="str">
        <f t="shared" si="296"/>
        <v>-3,32790479725526+1,10924246352771i</v>
      </c>
      <c r="BD290">
        <f t="shared" si="297"/>
        <v>10.900946478244373</v>
      </c>
      <c r="BE290" s="43">
        <f t="shared" si="298"/>
        <v>161.56596749305237</v>
      </c>
      <c r="BF290" s="41" t="str">
        <f t="shared" si="299"/>
        <v>0,00136880856430283+1,4671652926831i</v>
      </c>
      <c r="BG290" s="20">
        <f t="shared" si="300"/>
        <v>3.3295846753910241</v>
      </c>
      <c r="BH290" s="43">
        <f t="shared" si="301"/>
        <v>89.946545265668206</v>
      </c>
      <c r="BI290" s="41" t="str">
        <f t="shared" si="255"/>
        <v>-0,488516800616464+4,58264741626828i</v>
      </c>
      <c r="BJ290" s="20">
        <f t="shared" si="302"/>
        <v>13.271403220821272</v>
      </c>
      <c r="BK290" s="43">
        <f t="shared" si="256"/>
        <v>96.08483279855129</v>
      </c>
      <c r="BL290">
        <f t="shared" si="303"/>
        <v>3.3295846753910241</v>
      </c>
      <c r="BM290" s="43">
        <f t="shared" si="304"/>
        <v>89.946545265668206</v>
      </c>
    </row>
    <row r="291" spans="14:65" x14ac:dyDescent="0.25">
      <c r="N291" s="9">
        <v>73</v>
      </c>
      <c r="O291" s="34">
        <f t="shared" si="305"/>
        <v>5370.3179637025269</v>
      </c>
      <c r="P291" s="33" t="str">
        <f t="shared" si="257"/>
        <v>54,631621870174</v>
      </c>
      <c r="Q291" s="4" t="str">
        <f t="shared" si="258"/>
        <v>1+150,624056912321i</v>
      </c>
      <c r="R291" s="4">
        <f t="shared" si="270"/>
        <v>150.627376398602</v>
      </c>
      <c r="S291" s="4">
        <f t="shared" si="271"/>
        <v>1.5641573786177054</v>
      </c>
      <c r="T291" s="4" t="str">
        <f t="shared" si="259"/>
        <v>1+0,510189668217205i</v>
      </c>
      <c r="U291" s="4">
        <f t="shared" si="272"/>
        <v>1.1226279426219452</v>
      </c>
      <c r="V291" s="4">
        <f t="shared" si="273"/>
        <v>0.47176607469283965</v>
      </c>
      <c r="W291" t="str">
        <f t="shared" si="260"/>
        <v>1-0,134273648414111i</v>
      </c>
      <c r="X291" s="4">
        <f t="shared" si="274"/>
        <v>1.0089744360777613</v>
      </c>
      <c r="Y291" s="4">
        <f t="shared" si="275"/>
        <v>-0.13347530860134224</v>
      </c>
      <c r="Z291" t="str">
        <f t="shared" si="261"/>
        <v>0,999884638739875+0,0184481132811072i</v>
      </c>
      <c r="AA291" s="4">
        <f t="shared" si="276"/>
        <v>1.0000548103337152</v>
      </c>
      <c r="AB291" s="4">
        <f t="shared" si="277"/>
        <v>1.8448148594081119E-2</v>
      </c>
      <c r="AC291" s="47" t="str">
        <f t="shared" si="278"/>
        <v>0,131749263999291-0,389101902424621i</v>
      </c>
      <c r="AD291" s="20">
        <f t="shared" si="279"/>
        <v>-7.7273522093759972</v>
      </c>
      <c r="AE291" s="43">
        <f t="shared" si="280"/>
        <v>-71.293984198021718</v>
      </c>
      <c r="AF291" t="str">
        <f t="shared" si="262"/>
        <v>171,265703090588</v>
      </c>
      <c r="AG291" t="str">
        <f t="shared" si="263"/>
        <v>1+149,182582061326i</v>
      </c>
      <c r="AH291">
        <f t="shared" si="281"/>
        <v>149.18593362138492</v>
      </c>
      <c r="AI291">
        <f t="shared" si="282"/>
        <v>1.5640932317755121</v>
      </c>
      <c r="AJ291" t="str">
        <f t="shared" si="264"/>
        <v>1+0,510189668217205i</v>
      </c>
      <c r="AK291">
        <f t="shared" si="283"/>
        <v>1.1226279426219452</v>
      </c>
      <c r="AL291">
        <f t="shared" si="284"/>
        <v>0.47176607469283965</v>
      </c>
      <c r="AM291" t="str">
        <f t="shared" si="265"/>
        <v>1-0,0424216840528502i</v>
      </c>
      <c r="AN291">
        <f t="shared" si="285"/>
        <v>1.0008993951830922</v>
      </c>
      <c r="AO291">
        <f t="shared" si="286"/>
        <v>-4.2396264150596982E-2</v>
      </c>
      <c r="AP291" s="41" t="str">
        <f t="shared" si="287"/>
        <v>0,544848022470309-1,16922213195274i</v>
      </c>
      <c r="AQ291">
        <f t="shared" si="288"/>
        <v>2.2113759974998466</v>
      </c>
      <c r="AR291" s="43">
        <f t="shared" si="289"/>
        <v>-65.014862951311798</v>
      </c>
      <c r="AS291" t="str">
        <f t="shared" si="266"/>
        <v>-0,0000166666666666667</v>
      </c>
      <c r="AT291" t="str">
        <f t="shared" si="267"/>
        <v>0,0000517275635831333i</v>
      </c>
      <c r="AU291">
        <f t="shared" si="290"/>
        <v>5.1727563583133302E-5</v>
      </c>
      <c r="AV291">
        <f t="shared" si="291"/>
        <v>1.5707963267948966</v>
      </c>
      <c r="AW291" t="str">
        <f t="shared" si="268"/>
        <v>1+0,239698652868177i</v>
      </c>
      <c r="AX291">
        <f t="shared" si="292"/>
        <v>1.0283265260542582</v>
      </c>
      <c r="AY291">
        <f t="shared" si="293"/>
        <v>0.23526002635956444</v>
      </c>
      <c r="AZ291" t="str">
        <f t="shared" si="269"/>
        <v>1+11,135091965058i</v>
      </c>
      <c r="BA291">
        <f t="shared" si="294"/>
        <v>11.179904877515694</v>
      </c>
      <c r="BB291">
        <f t="shared" si="295"/>
        <v>1.4812304251346806</v>
      </c>
      <c r="BC291" s="41" t="str">
        <f t="shared" si="296"/>
        <v>-3,31976667775194+1,11794448358548i</v>
      </c>
      <c r="BD291">
        <f t="shared" si="297"/>
        <v>10.888675922215437</v>
      </c>
      <c r="BE291" s="43">
        <f t="shared" si="298"/>
        <v>161.38884524804641</v>
      </c>
      <c r="BF291" s="41" t="str">
        <f t="shared" si="299"/>
        <v>-0,00238249107496874+1,4390158928236i</v>
      </c>
      <c r="BG291" s="20">
        <f t="shared" si="300"/>
        <v>3.1613237128394509</v>
      </c>
      <c r="BH291" s="43">
        <f t="shared" si="301"/>
        <v>90.09486105002469</v>
      </c>
      <c r="BI291" s="41" t="str">
        <f t="shared" si="255"/>
        <v>-0,501642876933352+4,49065451365993i</v>
      </c>
      <c r="BJ291" s="20">
        <f t="shared" si="302"/>
        <v>13.100051919715289</v>
      </c>
      <c r="BK291" s="43">
        <f t="shared" si="256"/>
        <v>96.37398229673461</v>
      </c>
      <c r="BL291">
        <f t="shared" si="303"/>
        <v>3.1613237128394509</v>
      </c>
      <c r="BM291" s="43">
        <f t="shared" si="304"/>
        <v>90.09486105002469</v>
      </c>
    </row>
    <row r="292" spans="14:65" x14ac:dyDescent="0.25">
      <c r="N292" s="9">
        <v>74</v>
      </c>
      <c r="O292" s="34">
        <f t="shared" si="305"/>
        <v>5495.4087385762541</v>
      </c>
      <c r="P292" s="33" t="str">
        <f t="shared" si="257"/>
        <v>54,631621870174</v>
      </c>
      <c r="Q292" s="4" t="str">
        <f t="shared" si="258"/>
        <v>1+154,132541907276i</v>
      </c>
      <c r="R292" s="4">
        <f t="shared" si="270"/>
        <v>154.13578583443297</v>
      </c>
      <c r="S292" s="4">
        <f t="shared" si="271"/>
        <v>1.5643084952381483</v>
      </c>
      <c r="T292" s="4" t="str">
        <f t="shared" si="259"/>
        <v>1+0,52207351222071i</v>
      </c>
      <c r="U292" s="4">
        <f t="shared" si="272"/>
        <v>1.1280783448690379</v>
      </c>
      <c r="V292" s="4">
        <f t="shared" si="273"/>
        <v>0.48115007916581309</v>
      </c>
      <c r="W292" t="str">
        <f t="shared" si="260"/>
        <v>1-0,137401283470129i</v>
      </c>
      <c r="X292" s="4">
        <f t="shared" si="274"/>
        <v>1.0093954193967984</v>
      </c>
      <c r="Y292" s="4">
        <f t="shared" si="275"/>
        <v>-0.13654627639911573</v>
      </c>
      <c r="Z292" t="str">
        <f t="shared" si="261"/>
        <v>0,999879201931184+0,0188778250413585i</v>
      </c>
      <c r="AA292" s="4">
        <f t="shared" si="276"/>
        <v>1.0000573937193973</v>
      </c>
      <c r="AB292" s="4">
        <f t="shared" si="277"/>
        <v>1.8877862877295107E-2</v>
      </c>
      <c r="AC292" s="47" t="str">
        <f t="shared" si="278"/>
        <v>0,13161814270108-0,381501589803672i</v>
      </c>
      <c r="AD292" s="20">
        <f t="shared" si="279"/>
        <v>-7.8816744051146337</v>
      </c>
      <c r="AE292" s="43">
        <f t="shared" si="280"/>
        <v>-70.965553000011838</v>
      </c>
      <c r="AF292" t="str">
        <f t="shared" si="262"/>
        <v>171,265703090588</v>
      </c>
      <c r="AG292" t="str">
        <f t="shared" si="263"/>
        <v>1+152,657490793703i</v>
      </c>
      <c r="AH292">
        <f t="shared" si="281"/>
        <v>152.66076606459669</v>
      </c>
      <c r="AI292">
        <f t="shared" si="282"/>
        <v>1.5642458084307929</v>
      </c>
      <c r="AJ292" t="str">
        <f t="shared" si="264"/>
        <v>1+0,52207351222071i</v>
      </c>
      <c r="AK292">
        <f t="shared" si="283"/>
        <v>1.1280783448690379</v>
      </c>
      <c r="AL292">
        <f t="shared" si="284"/>
        <v>0.48115007916581309</v>
      </c>
      <c r="AM292" t="str">
        <f t="shared" si="265"/>
        <v>1-0,0434098120120298i</v>
      </c>
      <c r="AN292">
        <f t="shared" si="285"/>
        <v>1.0009417624312216</v>
      </c>
      <c r="AO292">
        <f t="shared" si="286"/>
        <v>-4.3382575479950544E-2</v>
      </c>
      <c r="AP292" s="41" t="str">
        <f t="shared" si="287"/>
        <v>0,544502786719507-1,14375399059683i</v>
      </c>
      <c r="AQ292">
        <f t="shared" si="288"/>
        <v>2.0538207309370433</v>
      </c>
      <c r="AR292" s="43">
        <f t="shared" si="289"/>
        <v>-64.542452574936377</v>
      </c>
      <c r="AS292" t="str">
        <f t="shared" si="266"/>
        <v>-0,0000166666666666667</v>
      </c>
      <c r="AT292" t="str">
        <f t="shared" si="267"/>
        <v>0,0000529324533223775i</v>
      </c>
      <c r="AU292">
        <f t="shared" si="290"/>
        <v>5.2932453322377501E-5</v>
      </c>
      <c r="AV292">
        <f t="shared" si="291"/>
        <v>1.5707963267948966</v>
      </c>
      <c r="AW292" t="str">
        <f t="shared" si="268"/>
        <v>1+0,245281951739143i</v>
      </c>
      <c r="AX292">
        <f t="shared" si="292"/>
        <v>1.0296422853831146</v>
      </c>
      <c r="AY292">
        <f t="shared" si="293"/>
        <v>0.24053324137589541</v>
      </c>
      <c r="AZ292" t="str">
        <f t="shared" si="269"/>
        <v>1+11,3944615762456i</v>
      </c>
      <c r="BA292">
        <f t="shared" si="294"/>
        <v>11.438258373219996</v>
      </c>
      <c r="BB292">
        <f t="shared" si="295"/>
        <v>1.4832586746363141</v>
      </c>
      <c r="BC292" s="41" t="str">
        <f t="shared" si="296"/>
        <v>-3,31128757168004+1,12706577393327i</v>
      </c>
      <c r="BD292">
        <f t="shared" si="297"/>
        <v>10.87600517816432</v>
      </c>
      <c r="BE292" s="43">
        <f t="shared" si="298"/>
        <v>161.20292241938864</v>
      </c>
      <c r="BF292" s="41" t="str">
        <f t="shared" si="299"/>
        <v>-0,0058481355648477+1,41160377676013i</v>
      </c>
      <c r="BG292" s="20">
        <f t="shared" si="300"/>
        <v>2.9943307730496995</v>
      </c>
      <c r="BH292" s="43">
        <f t="shared" si="301"/>
        <v>90.237369419376805</v>
      </c>
      <c r="BI292" s="41" t="str">
        <f t="shared" si="255"/>
        <v>-0,513919333808169+4,40098882884558i</v>
      </c>
      <c r="BJ292" s="20">
        <f t="shared" si="302"/>
        <v>12.929825909101373</v>
      </c>
      <c r="BK292" s="43">
        <f t="shared" si="256"/>
        <v>96.660469844452265</v>
      </c>
      <c r="BL292">
        <f t="shared" si="303"/>
        <v>2.9943307730496995</v>
      </c>
      <c r="BM292" s="43">
        <f t="shared" si="304"/>
        <v>90.237369419376805</v>
      </c>
    </row>
    <row r="293" spans="14:65" x14ac:dyDescent="0.25">
      <c r="N293" s="9">
        <v>75</v>
      </c>
      <c r="O293" s="34">
        <f t="shared" si="305"/>
        <v>5623.4132519034993</v>
      </c>
      <c r="P293" s="33" t="str">
        <f t="shared" si="257"/>
        <v>54,631621870174</v>
      </c>
      <c r="Q293" s="4" t="str">
        <f t="shared" si="258"/>
        <v>1+157,722750016135i</v>
      </c>
      <c r="R293" s="4">
        <f t="shared" si="270"/>
        <v>157.72592010399626</v>
      </c>
      <c r="S293" s="4">
        <f t="shared" si="271"/>
        <v>1.5644561723106798</v>
      </c>
      <c r="T293" s="4" t="str">
        <f t="shared" si="259"/>
        <v>1+0,534234166510852i</v>
      </c>
      <c r="U293" s="4">
        <f t="shared" si="272"/>
        <v>1.1337575334556964</v>
      </c>
      <c r="V293" s="4">
        <f t="shared" si="273"/>
        <v>0.49065840461074117</v>
      </c>
      <c r="W293" t="str">
        <f t="shared" si="260"/>
        <v>1-0,140601770505365i</v>
      </c>
      <c r="X293" s="4">
        <f t="shared" si="274"/>
        <v>1.0098360549461696</v>
      </c>
      <c r="Y293" s="4">
        <f t="shared" si="275"/>
        <v>-0.13968609518578867</v>
      </c>
      <c r="Z293" t="str">
        <f t="shared" si="261"/>
        <v>0,999873508893593+0,0193175460743243i</v>
      </c>
      <c r="AA293" s="4">
        <f t="shared" si="276"/>
        <v>1.0000600988808221</v>
      </c>
      <c r="AB293" s="4">
        <f t="shared" si="277"/>
        <v>1.9317586613347308E-2</v>
      </c>
      <c r="AC293" s="47" t="str">
        <f t="shared" si="278"/>
        <v>0,131490802576403-0,374103464574764i</v>
      </c>
      <c r="AD293" s="20">
        <f t="shared" si="279"/>
        <v>-8.0342803442782404</v>
      </c>
      <c r="AE293" s="43">
        <f t="shared" si="280"/>
        <v>-70.634320033907301</v>
      </c>
      <c r="AF293" t="str">
        <f t="shared" si="262"/>
        <v>171,265703090588</v>
      </c>
      <c r="AG293" t="str">
        <f t="shared" si="263"/>
        <v>1+156,21334054836i</v>
      </c>
      <c r="AH293">
        <f t="shared" si="281"/>
        <v>156.21654126653135</v>
      </c>
      <c r="AI293">
        <f t="shared" si="282"/>
        <v>1.5643949123120919</v>
      </c>
      <c r="AJ293" t="str">
        <f t="shared" si="264"/>
        <v>1+0,534234166510852i</v>
      </c>
      <c r="AK293">
        <f t="shared" si="283"/>
        <v>1.1337575334556964</v>
      </c>
      <c r="AL293">
        <f t="shared" si="284"/>
        <v>0.49065840461074117</v>
      </c>
      <c r="AM293" t="str">
        <f t="shared" si="265"/>
        <v>1-0,044420956428135i</v>
      </c>
      <c r="AN293">
        <f t="shared" si="285"/>
        <v>1.0009861244642657</v>
      </c>
      <c r="AO293">
        <f t="shared" si="286"/>
        <v>-4.439177351079851E-2</v>
      </c>
      <c r="AP293" s="41" t="str">
        <f t="shared" si="287"/>
        <v>0,54417308783362-1,11889207913145i</v>
      </c>
      <c r="AQ293">
        <f t="shared" si="288"/>
        <v>1.8978325396320914</v>
      </c>
      <c r="AR293" s="43">
        <f t="shared" si="289"/>
        <v>-64.064031467673075</v>
      </c>
      <c r="AS293" t="str">
        <f t="shared" si="266"/>
        <v>-0,0000166666666666667</v>
      </c>
      <c r="AT293" t="str">
        <f t="shared" si="267"/>
        <v>0,000054165408549017i</v>
      </c>
      <c r="AU293">
        <f t="shared" si="290"/>
        <v>5.4165408549016998E-5</v>
      </c>
      <c r="AV293">
        <f t="shared" si="291"/>
        <v>1.5707963267948966</v>
      </c>
      <c r="AW293" t="str">
        <f t="shared" si="268"/>
        <v>1+0,250995302347611i</v>
      </c>
      <c r="AX293">
        <f t="shared" si="292"/>
        <v>1.0310182548338165</v>
      </c>
      <c r="AY293">
        <f t="shared" si="293"/>
        <v>0.24591519867755601</v>
      </c>
      <c r="AZ293" t="str">
        <f t="shared" si="269"/>
        <v>1+11,6598726817845i</v>
      </c>
      <c r="BA293">
        <f t="shared" si="294"/>
        <v>11.702676230479268</v>
      </c>
      <c r="BB293">
        <f t="shared" si="295"/>
        <v>1.4852414535118188</v>
      </c>
      <c r="BC293" s="41" t="str">
        <f t="shared" si="296"/>
        <v>-3,30245515730151+1,13660018525844i</v>
      </c>
      <c r="BD293">
        <f t="shared" si="297"/>
        <v>10.862911229542107</v>
      </c>
      <c r="BE293" s="43">
        <f t="shared" si="298"/>
        <v>161.00816384175792</v>
      </c>
      <c r="BF293" s="41" t="str">
        <f t="shared" si="299"/>
        <v>-0,00903641196465577+1,38491238651741i</v>
      </c>
      <c r="BG293" s="20">
        <f t="shared" si="300"/>
        <v>2.8286308852638475</v>
      </c>
      <c r="BH293" s="43">
        <f t="shared" si="301"/>
        <v>90.373843807850619</v>
      </c>
      <c r="BI293" s="41" t="str">
        <f t="shared" si="255"/>
        <v>-0,525374275955819+4,31359814963582i</v>
      </c>
      <c r="BJ293" s="20">
        <f t="shared" si="302"/>
        <v>12.760743769174205</v>
      </c>
      <c r="BK293" s="43">
        <f t="shared" si="256"/>
        <v>96.944132374084845</v>
      </c>
      <c r="BL293">
        <f t="shared" si="303"/>
        <v>2.8286308852638475</v>
      </c>
      <c r="BM293" s="43">
        <f t="shared" si="304"/>
        <v>90.373843807850619</v>
      </c>
    </row>
    <row r="294" spans="14:65" x14ac:dyDescent="0.25">
      <c r="N294" s="9">
        <v>76</v>
      </c>
      <c r="O294" s="34">
        <f t="shared" si="305"/>
        <v>5754.399373371567</v>
      </c>
      <c r="P294" s="33" t="str">
        <f t="shared" si="257"/>
        <v>54,631621870174</v>
      </c>
      <c r="Q294" s="4" t="str">
        <f t="shared" si="258"/>
        <v>1+161,39658481476i</v>
      </c>
      <c r="R294" s="4">
        <f t="shared" si="270"/>
        <v>161.39968274401289</v>
      </c>
      <c r="S294" s="4">
        <f t="shared" si="271"/>
        <v>1.564600488109859</v>
      </c>
      <c r="T294" s="4" t="str">
        <f t="shared" si="259"/>
        <v>1+0,546678078827504i</v>
      </c>
      <c r="U294" s="4">
        <f t="shared" si="272"/>
        <v>1.1396740419394182</v>
      </c>
      <c r="V294" s="4">
        <f t="shared" si="273"/>
        <v>0.50028921457803777</v>
      </c>
      <c r="W294" t="str">
        <f t="shared" si="260"/>
        <v>1-0,143876806460406i</v>
      </c>
      <c r="X294" s="4">
        <f t="shared" si="274"/>
        <v>1.0102972510292429</v>
      </c>
      <c r="Y294" s="4">
        <f t="shared" si="275"/>
        <v>-0.1428961819745187</v>
      </c>
      <c r="Z294" t="str">
        <f t="shared" si="261"/>
        <v>0,999867547551407+0,0197675095259166i</v>
      </c>
      <c r="AA294" s="4">
        <f t="shared" si="276"/>
        <v>1.0000629315594707</v>
      </c>
      <c r="AB294" s="4">
        <f t="shared" si="277"/>
        <v>1.9767552960993383E-2</v>
      </c>
      <c r="AC294" s="47" t="str">
        <f t="shared" si="278"/>
        <v>0,131366973608781-0,366903606463052i</v>
      </c>
      <c r="AD294" s="20">
        <f t="shared" si="279"/>
        <v>-8.185121700758998</v>
      </c>
      <c r="AE294" s="43">
        <f t="shared" si="280"/>
        <v>-70.300489553206603</v>
      </c>
      <c r="AF294" t="str">
        <f t="shared" si="262"/>
        <v>171,265703090588</v>
      </c>
      <c r="AG294" t="str">
        <f t="shared" si="263"/>
        <v>1+159,852016683904i</v>
      </c>
      <c r="AH294">
        <f t="shared" si="281"/>
        <v>159.85514454627705</v>
      </c>
      <c r="AI294">
        <f t="shared" si="282"/>
        <v>1.5645406224497267</v>
      </c>
      <c r="AJ294" t="str">
        <f t="shared" si="264"/>
        <v>1+0,546678078827504i</v>
      </c>
      <c r="AK294">
        <f t="shared" si="283"/>
        <v>1.1396740419394182</v>
      </c>
      <c r="AL294">
        <f t="shared" si="284"/>
        <v>0.50028921457803777</v>
      </c>
      <c r="AM294" t="str">
        <f t="shared" si="265"/>
        <v>1-0,0454556534233192i</v>
      </c>
      <c r="AN294">
        <f t="shared" si="285"/>
        <v>1.0010325751083933</v>
      </c>
      <c r="AO294">
        <f t="shared" si="286"/>
        <v>-4.5424385105823487E-2</v>
      </c>
      <c r="AP294" s="41" t="str">
        <f t="shared" si="287"/>
        <v>0,543858226653219-1,09462322903136i</v>
      </c>
      <c r="AQ294">
        <f t="shared" si="288"/>
        <v>1.7434530226175253</v>
      </c>
      <c r="AR294" s="43">
        <f t="shared" si="289"/>
        <v>-63.57973956544437</v>
      </c>
      <c r="AS294" t="str">
        <f t="shared" si="266"/>
        <v>-0,0000166666666666667</v>
      </c>
      <c r="AT294" t="str">
        <f t="shared" si="267"/>
        <v>0,0000554270829922331i</v>
      </c>
      <c r="AU294">
        <f t="shared" si="290"/>
        <v>5.5427082992233098E-5</v>
      </c>
      <c r="AV294">
        <f t="shared" si="291"/>
        <v>1.5707963267948966</v>
      </c>
      <c r="AW294" t="str">
        <f t="shared" si="268"/>
        <v>1+0,256841733987699i</v>
      </c>
      <c r="AX294">
        <f t="shared" si="292"/>
        <v>1.0324571062847152</v>
      </c>
      <c r="AY294">
        <f t="shared" si="293"/>
        <v>0.25140750418668684</v>
      </c>
      <c r="AZ294" t="str">
        <f t="shared" si="269"/>
        <v>1+11,9314660061558i</v>
      </c>
      <c r="BA294">
        <f t="shared" si="294"/>
        <v>11.97329867062755</v>
      </c>
      <c r="BB294">
        <f t="shared" si="295"/>
        <v>1.4871797506612325</v>
      </c>
      <c r="BC294" s="41" t="str">
        <f t="shared" si="296"/>
        <v>-3,29325684522177+1,14654115845952i</v>
      </c>
      <c r="BD294">
        <f t="shared" si="297"/>
        <v>10.849370491587349</v>
      </c>
      <c r="BE294" s="43">
        <f t="shared" si="298"/>
        <v>160.80453416239197</v>
      </c>
      <c r="BF294" s="41" t="str">
        <f t="shared" si="299"/>
        <v>-0,0119550990760621+1,35892545562573i</v>
      </c>
      <c r="BG294" s="20">
        <f t="shared" si="300"/>
        <v>2.6642487908283292</v>
      </c>
      <c r="BH294" s="43">
        <f t="shared" si="301"/>
        <v>90.504044609185371</v>
      </c>
      <c r="BI294" s="41" t="str">
        <f t="shared" si="255"/>
        <v>-0,53603424266557+4,22843128317101i</v>
      </c>
      <c r="BJ294" s="20">
        <f t="shared" si="302"/>
        <v>12.592823514204882</v>
      </c>
      <c r="BK294" s="43">
        <f t="shared" si="256"/>
        <v>97.224794596947589</v>
      </c>
      <c r="BL294">
        <f t="shared" si="303"/>
        <v>2.6642487908283292</v>
      </c>
      <c r="BM294" s="43">
        <f t="shared" si="304"/>
        <v>90.504044609185371</v>
      </c>
    </row>
    <row r="295" spans="14:65" x14ac:dyDescent="0.25">
      <c r="N295" s="9">
        <v>77</v>
      </c>
      <c r="O295" s="34">
        <f t="shared" si="305"/>
        <v>5888.4365535558973</v>
      </c>
      <c r="P295" s="33" t="str">
        <f t="shared" si="257"/>
        <v>54,631621870174</v>
      </c>
      <c r="Q295" s="4" t="str">
        <f t="shared" si="258"/>
        <v>1+165,155994218991i</v>
      </c>
      <c r="R295" s="4">
        <f t="shared" si="270"/>
        <v>165.15902163207249</v>
      </c>
      <c r="S295" s="4">
        <f t="shared" si="271"/>
        <v>1.5647415191297736</v>
      </c>
      <c r="T295" s="4" t="str">
        <f t="shared" si="259"/>
        <v>1+0,559411847097692i</v>
      </c>
      <c r="U295" s="4">
        <f t="shared" si="272"/>
        <v>1.1458366439738483</v>
      </c>
      <c r="V295" s="4">
        <f t="shared" si="273"/>
        <v>0.51004046840692741</v>
      </c>
      <c r="W295" t="str">
        <f t="shared" si="260"/>
        <v>1-0,147228127802668i</v>
      </c>
      <c r="X295" s="4">
        <f t="shared" si="274"/>
        <v>1.0107799570709139</v>
      </c>
      <c r="Y295" s="4">
        <f t="shared" si="275"/>
        <v>-0.14617797402667843</v>
      </c>
      <c r="Z295" t="str">
        <f t="shared" si="261"/>
        <v>0,999861305259819+0,0202279539727136i</v>
      </c>
      <c r="AA295" s="4">
        <f t="shared" si="276"/>
        <v>1.0000658977676378</v>
      </c>
      <c r="AB295" s="4">
        <f t="shared" si="277"/>
        <v>2.0228000510569073E-2</v>
      </c>
      <c r="AC295" s="47" t="str">
        <f t="shared" si="278"/>
        <v>0,131246393227973-0,35989819989999i</v>
      </c>
      <c r="AD295" s="20">
        <f t="shared" si="279"/>
        <v>-8.3341499461415438</v>
      </c>
      <c r="AE295" s="43">
        <f t="shared" si="280"/>
        <v>-69.964278881178188</v>
      </c>
      <c r="AF295" t="str">
        <f t="shared" si="262"/>
        <v>171,265703090588</v>
      </c>
      <c r="AG295" t="str">
        <f t="shared" si="263"/>
        <v>1+163,575448474585i</v>
      </c>
      <c r="AH295">
        <f t="shared" si="281"/>
        <v>163.57850513946389</v>
      </c>
      <c r="AI295">
        <f t="shared" si="282"/>
        <v>1.5646830160763772</v>
      </c>
      <c r="AJ295" t="str">
        <f t="shared" si="264"/>
        <v>1+0,559411847097692i</v>
      </c>
      <c r="AK295">
        <f t="shared" si="283"/>
        <v>1.1458366439738483</v>
      </c>
      <c r="AL295">
        <f t="shared" si="284"/>
        <v>0.51004046840692741</v>
      </c>
      <c r="AM295" t="str">
        <f t="shared" si="265"/>
        <v>1-0,0465144516076253i</v>
      </c>
      <c r="AN295">
        <f t="shared" si="285"/>
        <v>1.0010812125938426</v>
      </c>
      <c r="AO295">
        <f t="shared" si="286"/>
        <v>-4.6480948955867997E-2</v>
      </c>
      <c r="AP295" s="41" t="str">
        <f t="shared" si="287"/>
        <v>0,543557535476148-1,0709345853134i</v>
      </c>
      <c r="AQ295">
        <f t="shared" si="288"/>
        <v>1.5907236924932369</v>
      </c>
      <c r="AR295" s="43">
        <f t="shared" si="289"/>
        <v>-63.089729079318417</v>
      </c>
      <c r="AS295" t="str">
        <f t="shared" si="266"/>
        <v>-0,0000166666666666667</v>
      </c>
      <c r="AT295" t="str">
        <f t="shared" si="267"/>
        <v>0,000056718145608516i</v>
      </c>
      <c r="AU295">
        <f t="shared" si="290"/>
        <v>5.6718145608516003E-5</v>
      </c>
      <c r="AV295">
        <f t="shared" si="291"/>
        <v>1.5707963267948966</v>
      </c>
      <c r="AW295" t="str">
        <f t="shared" si="268"/>
        <v>1+0,26282434651485i</v>
      </c>
      <c r="AX295">
        <f t="shared" si="292"/>
        <v>1.0339616226538382</v>
      </c>
      <c r="AY295">
        <f t="shared" si="293"/>
        <v>0.25701174401336369</v>
      </c>
      <c r="AZ295" t="str">
        <f t="shared" si="269"/>
        <v>1+12,2093855517353i</v>
      </c>
      <c r="BA295">
        <f t="shared" si="294"/>
        <v>12.250269203202139</v>
      </c>
      <c r="BB295">
        <f t="shared" si="295"/>
        <v>1.4890745355055937</v>
      </c>
      <c r="BC295" s="41" t="str">
        <f t="shared" si="296"/>
        <v>-3,28367978957302+1,15688169268821i</v>
      </c>
      <c r="BD295">
        <f t="shared" si="297"/>
        <v>10.835358790400003</v>
      </c>
      <c r="BE295" s="43">
        <f t="shared" si="298"/>
        <v>160.59199804761153</v>
      </c>
      <c r="BF295" s="41" t="str">
        <f t="shared" si="299"/>
        <v>-0,014611490201308+1,33362699487211i</v>
      </c>
      <c r="BG295" s="20">
        <f t="shared" si="300"/>
        <v>2.5012088442584721</v>
      </c>
      <c r="BH295" s="43">
        <f t="shared" si="301"/>
        <v>90.627719166433323</v>
      </c>
      <c r="BI295" s="41" t="str">
        <f t="shared" si="255"/>
        <v>-0,545924277897435+4,14543801546345i</v>
      </c>
      <c r="BJ295" s="20">
        <f t="shared" si="302"/>
        <v>12.426082482893232</v>
      </c>
      <c r="BK295" s="43">
        <f t="shared" si="256"/>
        <v>97.502268968293109</v>
      </c>
      <c r="BL295">
        <f t="shared" si="303"/>
        <v>2.5012088442584721</v>
      </c>
      <c r="BM295" s="43">
        <f t="shared" si="304"/>
        <v>90.627719166433323</v>
      </c>
    </row>
    <row r="296" spans="14:65" x14ac:dyDescent="0.25">
      <c r="N296" s="9">
        <v>78</v>
      </c>
      <c r="O296" s="34">
        <f t="shared" si="305"/>
        <v>6025.595860743585</v>
      </c>
      <c r="P296" s="33" t="str">
        <f t="shared" si="257"/>
        <v>54,631621870174</v>
      </c>
      <c r="Q296" s="4" t="str">
        <f t="shared" si="258"/>
        <v>1+169,002971517454i</v>
      </c>
      <c r="R296" s="4">
        <f t="shared" si="270"/>
        <v>169.00593001942082</v>
      </c>
      <c r="S296" s="4">
        <f t="shared" si="271"/>
        <v>1.5648793401244834</v>
      </c>
      <c r="T296" s="4" t="str">
        <f t="shared" si="259"/>
        <v>1+0,5724422229339i</v>
      </c>
      <c r="U296" s="4">
        <f t="shared" si="272"/>
        <v>1.1522543549917721</v>
      </c>
      <c r="V296" s="4">
        <f t="shared" si="273"/>
        <v>0.5199099178717963</v>
      </c>
      <c r="W296" t="str">
        <f t="shared" si="260"/>
        <v>1-0,150657511447086i</v>
      </c>
      <c r="X296" s="4">
        <f t="shared" si="274"/>
        <v>1.0112851653986767</v>
      </c>
      <c r="Y296" s="4">
        <f t="shared" si="275"/>
        <v>-0.14953292848126551</v>
      </c>
      <c r="Z296" t="str">
        <f t="shared" si="261"/>
        <v>0,999854768778092+0,0206991235484554i</v>
      </c>
      <c r="AA296" s="4">
        <f t="shared" si="276"/>
        <v>1.0000690038012208</v>
      </c>
      <c r="AB296" s="4">
        <f t="shared" si="277"/>
        <v>2.0699173410550633E-2</v>
      </c>
      <c r="AC296" s="47" t="str">
        <f t="shared" si="278"/>
        <v>0,131128805753781-0,353083532009294i</v>
      </c>
      <c r="AD296" s="20">
        <f t="shared" si="279"/>
        <v>-8.4813164316382181</v>
      </c>
      <c r="AE296" s="43">
        <f t="shared" si="280"/>
        <v>-69.625918591344927</v>
      </c>
      <c r="AF296" t="str">
        <f t="shared" si="262"/>
        <v>171,265703090588</v>
      </c>
      <c r="AG296" t="str">
        <f t="shared" si="263"/>
        <v>1+167,385610133225i</v>
      </c>
      <c r="AH296">
        <f t="shared" si="281"/>
        <v>167.38859722117272</v>
      </c>
      <c r="AI296">
        <f t="shared" si="282"/>
        <v>1.5648221686679187</v>
      </c>
      <c r="AJ296" t="str">
        <f t="shared" si="264"/>
        <v>1+0,5724422229339i</v>
      </c>
      <c r="AK296">
        <f t="shared" si="283"/>
        <v>1.1522543549917721</v>
      </c>
      <c r="AL296">
        <f t="shared" si="284"/>
        <v>0.5199099178717963</v>
      </c>
      <c r="AM296" t="str">
        <f t="shared" si="265"/>
        <v>1-0,0475979123698652i</v>
      </c>
      <c r="AN296">
        <f t="shared" si="285"/>
        <v>1.0011321397607658</v>
      </c>
      <c r="AO296">
        <f t="shared" si="286"/>
        <v>-4.7562015823934697E-2</v>
      </c>
      <c r="AP296" s="41" t="str">
        <f t="shared" si="287"/>
        <v>0,543270376642582-1,04781359978111i</v>
      </c>
      <c r="AQ296">
        <f t="shared" si="288"/>
        <v>1.4396858824882941</v>
      </c>
      <c r="AR296" s="43">
        <f t="shared" si="289"/>
        <v>-62.594164703978947</v>
      </c>
      <c r="AS296" t="str">
        <f t="shared" si="266"/>
        <v>-0,0000166666666666667</v>
      </c>
      <c r="AT296" t="str">
        <f t="shared" si="267"/>
        <v>0,0000580392809363538i</v>
      </c>
      <c r="AU296">
        <f t="shared" si="290"/>
        <v>5.8039280936353802E-5</v>
      </c>
      <c r="AV296">
        <f t="shared" si="291"/>
        <v>1.5707963267948966</v>
      </c>
      <c r="AW296" t="str">
        <f t="shared" si="268"/>
        <v>1+0,268946311989415i</v>
      </c>
      <c r="AX296">
        <f t="shared" si="292"/>
        <v>1.0355347018486187</v>
      </c>
      <c r="AY296">
        <f t="shared" si="293"/>
        <v>0.26272948089057169</v>
      </c>
      <c r="AZ296" t="str">
        <f t="shared" si="269"/>
        <v>1+12,4937786751446i</v>
      </c>
      <c r="BA296">
        <f t="shared" si="294"/>
        <v>12.533734702134792</v>
      </c>
      <c r="BB296">
        <f t="shared" si="295"/>
        <v>1.4909267582332209</v>
      </c>
      <c r="BC296" s="41" t="str">
        <f t="shared" si="296"/>
        <v>-3,27371090121549+1,16761431272443i</v>
      </c>
      <c r="BD296">
        <f t="shared" si="297"/>
        <v>10.8208513429447</v>
      </c>
      <c r="BE296" s="43">
        <f t="shared" si="298"/>
        <v>160.37052040119249</v>
      </c>
      <c r="BF296" s="41" t="str">
        <f t="shared" si="299"/>
        <v>-0,0170124152981752+1,30900127818707i</v>
      </c>
      <c r="BG296" s="20">
        <f t="shared" si="300"/>
        <v>2.3395349113064774</v>
      </c>
      <c r="BH296" s="43">
        <f t="shared" si="301"/>
        <v>90.744601809847538</v>
      </c>
      <c r="BI296" s="41" t="str">
        <f t="shared" si="255"/>
        <v>-0,555067998150534+4,06456907149234i</v>
      </c>
      <c r="BJ296" s="20">
        <f t="shared" si="302"/>
        <v>12.260537225433003</v>
      </c>
      <c r="BK296" s="43">
        <f t="shared" si="256"/>
        <v>97.776355697213518</v>
      </c>
      <c r="BL296">
        <f t="shared" si="303"/>
        <v>2.3395349113064774</v>
      </c>
      <c r="BM296" s="43">
        <f t="shared" si="304"/>
        <v>90.744601809847538</v>
      </c>
    </row>
    <row r="297" spans="14:65" x14ac:dyDescent="0.25">
      <c r="N297" s="9">
        <v>79</v>
      </c>
      <c r="O297" s="34">
        <f t="shared" si="305"/>
        <v>6165.9500186148289</v>
      </c>
      <c r="P297" s="33" t="str">
        <f t="shared" si="257"/>
        <v>54,631621870174</v>
      </c>
      <c r="Q297" s="4" t="str">
        <f t="shared" si="258"/>
        <v>1+172,939556428435i</v>
      </c>
      <c r="R297" s="4">
        <f t="shared" si="270"/>
        <v>172.9424475878142</v>
      </c>
      <c r="S297" s="4">
        <f t="shared" si="271"/>
        <v>1.5650140241475494</v>
      </c>
      <c r="T297" s="4" t="str">
        <f t="shared" si="259"/>
        <v>1+0,585776115213878i</v>
      </c>
      <c r="U297" s="4">
        <f t="shared" si="272"/>
        <v>1.1589364336127597</v>
      </c>
      <c r="V297" s="4">
        <f t="shared" si="273"/>
        <v>0.52989510446272903</v>
      </c>
      <c r="W297" t="str">
        <f t="shared" si="260"/>
        <v>1-0,154166775698261i</v>
      </c>
      <c r="X297" s="4">
        <f t="shared" si="274"/>
        <v>1.0118139130933108</v>
      </c>
      <c r="Y297" s="4">
        <f t="shared" si="275"/>
        <v>-0.15296252192359186</v>
      </c>
      <c r="Z297" t="str">
        <f t="shared" si="261"/>
        <v>0,999847924241472+0,021181268073488i</v>
      </c>
      <c r="AA297" s="4">
        <f t="shared" si="276"/>
        <v>1.0000722562531075</v>
      </c>
      <c r="AB297" s="4">
        <f t="shared" si="277"/>
        <v>2.1181321497068199E-2</v>
      </c>
      <c r="AC297" s="47" t="str">
        <f t="shared" si="278"/>
        <v>0,131013961854449-0,346455990645401i</v>
      </c>
      <c r="AD297" s="20">
        <f t="shared" si="279"/>
        <v>-8.6265724736732921</v>
      </c>
      <c r="AE297" s="43">
        <f t="shared" si="280"/>
        <v>-69.285652648272276</v>
      </c>
      <c r="AF297" t="str">
        <f t="shared" si="262"/>
        <v>171,265703090588</v>
      </c>
      <c r="AG297" t="str">
        <f t="shared" si="263"/>
        <v>1+171,284521857967i</v>
      </c>
      <c r="AH297">
        <f t="shared" si="281"/>
        <v>171.28744095266404</v>
      </c>
      <c r="AI297">
        <f t="shared" si="282"/>
        <v>1.5649581539833288</v>
      </c>
      <c r="AJ297" t="str">
        <f t="shared" si="264"/>
        <v>1+0,585776115213878i</v>
      </c>
      <c r="AK297">
        <f t="shared" si="283"/>
        <v>1.1589364336127597</v>
      </c>
      <c r="AL297">
        <f t="shared" si="284"/>
        <v>0.52989510446272903</v>
      </c>
      <c r="AM297" t="str">
        <f t="shared" si="265"/>
        <v>1-0,0487066101752766i</v>
      </c>
      <c r="AN297">
        <f t="shared" si="285"/>
        <v>1.0011854642746101</v>
      </c>
      <c r="AO297">
        <f t="shared" si="286"/>
        <v>-4.8668148792648219E-2</v>
      </c>
      <c r="AP297" s="41" t="str">
        <f t="shared" si="287"/>
        <v>0,542996141183741-1,02524802442804i</v>
      </c>
      <c r="AQ297">
        <f t="shared" si="288"/>
        <v>1.2903806495887573</v>
      </c>
      <c r="AR297" s="43">
        <f t="shared" si="289"/>
        <v>-62.09322379000438</v>
      </c>
      <c r="AS297" t="str">
        <f t="shared" si="266"/>
        <v>-0,0000166666666666667</v>
      </c>
      <c r="AT297" t="str">
        <f t="shared" si="267"/>
        <v>0,0000593911894591848i</v>
      </c>
      <c r="AU297">
        <f t="shared" si="290"/>
        <v>5.9391189459184799E-5</v>
      </c>
      <c r="AV297">
        <f t="shared" si="291"/>
        <v>1.5707963267948966</v>
      </c>
      <c r="AW297" t="str">
        <f t="shared" si="268"/>
        <v>1+0,275210876358522i</v>
      </c>
      <c r="AX297">
        <f t="shared" si="292"/>
        <v>1.0371793607983268</v>
      </c>
      <c r="AY297">
        <f t="shared" si="293"/>
        <v>0.26856225040600601</v>
      </c>
      <c r="AZ297" t="str">
        <f t="shared" si="269"/>
        <v>1+12,7847961653823i</v>
      </c>
      <c r="BA297">
        <f t="shared" si="294"/>
        <v>12.823845483721877</v>
      </c>
      <c r="BB297">
        <f t="shared" si="295"/>
        <v>1.4927373500529952</v>
      </c>
      <c r="BC297" s="41" t="str">
        <f t="shared" si="296"/>
        <v>-3,26333686310296+1,17873103577219i</v>
      </c>
      <c r="BD297">
        <f t="shared" si="297"/>
        <v>10.805822738097543</v>
      </c>
      <c r="BE297" s="43">
        <f t="shared" si="298"/>
        <v>160.14006659477943</v>
      </c>
      <c r="BF297" s="41" t="str">
        <f t="shared" si="299"/>
        <v>-0,0191642625978547+1,2850328286733i</v>
      </c>
      <c r="BG297" s="20">
        <f t="shared" si="300"/>
        <v>2.1792502644242226</v>
      </c>
      <c r="BH297" s="43">
        <f t="shared" si="301"/>
        <v>90.854413946507151</v>
      </c>
      <c r="BI297" s="41" t="str">
        <f t="shared" si="255"/>
        <v>-0,563487658290106+3,98577607585732i</v>
      </c>
      <c r="BJ297" s="20">
        <f t="shared" si="302"/>
        <v>12.096203387686302</v>
      </c>
      <c r="BK297" s="43">
        <f t="shared" si="256"/>
        <v>98.046842804775039</v>
      </c>
      <c r="BL297">
        <f t="shared" si="303"/>
        <v>2.1792502644242226</v>
      </c>
      <c r="BM297" s="43">
        <f t="shared" si="304"/>
        <v>90.854413946507151</v>
      </c>
    </row>
    <row r="298" spans="14:65" x14ac:dyDescent="0.25">
      <c r="N298" s="9">
        <v>80</v>
      </c>
      <c r="O298" s="34">
        <f t="shared" si="305"/>
        <v>6309.5734448019384</v>
      </c>
      <c r="P298" s="33" t="str">
        <f t="shared" si="257"/>
        <v>54,631621870174</v>
      </c>
      <c r="Q298" s="4" t="str">
        <f t="shared" si="258"/>
        <v>1+176,967836181359i</v>
      </c>
      <c r="R298" s="4">
        <f t="shared" si="270"/>
        <v>176.97066153097896</v>
      </c>
      <c r="S298" s="4">
        <f t="shared" si="271"/>
        <v>1.5651456425906671</v>
      </c>
      <c r="T298" s="4" t="str">
        <f t="shared" si="259"/>
        <v>1+0,599420593743804i</v>
      </c>
      <c r="U298" s="4">
        <f t="shared" si="272"/>
        <v>1.165892382771315</v>
      </c>
      <c r="V298" s="4">
        <f t="shared" si="273"/>
        <v>0.53999335735363829</v>
      </c>
      <c r="W298" t="str">
        <f t="shared" si="260"/>
        <v>1-0,157757781214549i</v>
      </c>
      <c r="X298" s="4">
        <f t="shared" si="274"/>
        <v>1.0123672839111986</v>
      </c>
      <c r="Y298" s="4">
        <f t="shared" si="275"/>
        <v>-0.15646824988901661</v>
      </c>
      <c r="Z298" t="str">
        <f t="shared" si="261"/>
        <v>0,999840757131779+0,0216746431872203i</v>
      </c>
      <c r="AA298" s="4">
        <f t="shared" si="276"/>
        <v>1.0000756620272</v>
      </c>
      <c r="AB298" s="4">
        <f t="shared" si="277"/>
        <v>2.1674700426437023E-2</v>
      </c>
      <c r="AC298" s="47" t="str">
        <f t="shared" si="278"/>
        <v>0,130901618018541-0,340012062483428i</v>
      </c>
      <c r="AD298" s="20">
        <f t="shared" si="279"/>
        <v>-8.769869442787634</v>
      </c>
      <c r="AE298" s="43">
        <f t="shared" si="280"/>
        <v>-68.943738505357459</v>
      </c>
      <c r="AF298" t="str">
        <f t="shared" si="262"/>
        <v>171,265703090588</v>
      </c>
      <c r="AG298" t="str">
        <f t="shared" si="263"/>
        <v>1+175,274250903417i</v>
      </c>
      <c r="AH298">
        <f t="shared" si="281"/>
        <v>175.27710355250048</v>
      </c>
      <c r="AI298">
        <f t="shared" si="282"/>
        <v>1.5650910441036932</v>
      </c>
      <c r="AJ298" t="str">
        <f t="shared" si="264"/>
        <v>1+0,599420593743804i</v>
      </c>
      <c r="AK298">
        <f t="shared" si="283"/>
        <v>1.165892382771315</v>
      </c>
      <c r="AL298">
        <f t="shared" si="284"/>
        <v>0.53999335735363829</v>
      </c>
      <c r="AM298" t="str">
        <f t="shared" si="265"/>
        <v>1-0,0498411328701109i</v>
      </c>
      <c r="AN298">
        <f t="shared" si="285"/>
        <v>1.0012412988514687</v>
      </c>
      <c r="AO298">
        <f t="shared" si="286"/>
        <v>-4.9799923515099438E-2</v>
      </c>
      <c r="AP298" s="41" t="str">
        <f t="shared" si="287"/>
        <v>0,542734247531285-1,00322590499632i</v>
      </c>
      <c r="AQ298">
        <f t="shared" si="288"/>
        <v>1.1428486740643509</v>
      </c>
      <c r="AR298" s="43">
        <f t="shared" si="289"/>
        <v>-61.587096476891318</v>
      </c>
      <c r="AS298" t="str">
        <f t="shared" si="266"/>
        <v>-0,0000166666666666667</v>
      </c>
      <c r="AT298" t="str">
        <f t="shared" si="267"/>
        <v>0,0000607745879768024i</v>
      </c>
      <c r="AU298">
        <f t="shared" si="290"/>
        <v>6.0774587976802403E-5</v>
      </c>
      <c r="AV298">
        <f t="shared" si="291"/>
        <v>1.5707963267948966</v>
      </c>
      <c r="AW298" t="str">
        <f t="shared" si="268"/>
        <v>1+0,28162136117712i</v>
      </c>
      <c r="AX298">
        <f t="shared" si="292"/>
        <v>1.0388987395657259</v>
      </c>
      <c r="AY298">
        <f t="shared" si="293"/>
        <v>0.27451155702693486</v>
      </c>
      <c r="AZ298" t="str">
        <f t="shared" si="269"/>
        <v>1+13,0825923237735i</v>
      </c>
      <c r="BA298">
        <f t="shared" si="294"/>
        <v>13.120755386411917</v>
      </c>
      <c r="BB298">
        <f t="shared" si="295"/>
        <v>1.4945072234536874</v>
      </c>
      <c r="BC298" s="41" t="str">
        <f t="shared" si="296"/>
        <v>-3,25254414795882+1,19022333777857i</v>
      </c>
      <c r="BD298">
        <f t="shared" si="297"/>
        <v>10.79024691885326</v>
      </c>
      <c r="BE298" s="43">
        <f t="shared" si="298"/>
        <v>159.90060271050308</v>
      </c>
      <c r="BF298" s="41" t="str">
        <f t="shared" si="299"/>
        <v>-0,021072999750545+1,26170640478453i</v>
      </c>
      <c r="BG298" s="20">
        <f t="shared" si="300"/>
        <v>2.0203774760656543</v>
      </c>
      <c r="BH298" s="43">
        <f t="shared" si="301"/>
        <v>90.956864205145607</v>
      </c>
      <c r="BI298" s="41" t="str">
        <f t="shared" si="255"/>
        <v>-0,571204215514068+3,9090115139999i</v>
      </c>
      <c r="BJ298" s="20">
        <f t="shared" si="302"/>
        <v>11.933095592917615</v>
      </c>
      <c r="BK298" s="43">
        <f t="shared" si="256"/>
        <v>98.313506233611747</v>
      </c>
      <c r="BL298">
        <f t="shared" si="303"/>
        <v>2.0203774760656543</v>
      </c>
      <c r="BM298" s="43">
        <f t="shared" si="304"/>
        <v>90.956864205145607</v>
      </c>
    </row>
    <row r="299" spans="14:65" x14ac:dyDescent="0.25">
      <c r="N299" s="9">
        <v>81</v>
      </c>
      <c r="O299" s="34">
        <f t="shared" si="305"/>
        <v>6456.5422903465615</v>
      </c>
      <c r="P299" s="33" t="str">
        <f t="shared" si="257"/>
        <v>54,631621870174</v>
      </c>
      <c r="Q299" s="4" t="str">
        <f t="shared" si="258"/>
        <v>1+181,089946623474i</v>
      </c>
      <c r="R299" s="4">
        <f t="shared" si="270"/>
        <v>181.09270766127679</v>
      </c>
      <c r="S299" s="4">
        <f t="shared" si="271"/>
        <v>1.565274265221426</v>
      </c>
      <c r="T299" s="4" t="str">
        <f t="shared" si="259"/>
        <v>1+0,613382893006805i</v>
      </c>
      <c r="U299" s="4">
        <f t="shared" si="272"/>
        <v>1.1731319505637026</v>
      </c>
      <c r="V299" s="4">
        <f t="shared" si="273"/>
        <v>0.55020179210952114</v>
      </c>
      <c r="W299" t="str">
        <f t="shared" si="260"/>
        <v>1-0,161432431994608i</v>
      </c>
      <c r="X299" s="4">
        <f t="shared" si="274"/>
        <v>1.0129464102802743</v>
      </c>
      <c r="Y299" s="4">
        <f t="shared" si="275"/>
        <v>-0.16005162629730854</v>
      </c>
      <c r="Z299" t="str">
        <f t="shared" si="261"/>
        <v>0,999833252246612+0,0221795104836684i</v>
      </c>
      <c r="AA299" s="4">
        <f t="shared" si="276"/>
        <v>1.0000792283531004</v>
      </c>
      <c r="AB299" s="4">
        <f t="shared" si="277"/>
        <v>2.2179571810781239E-2</v>
      </c>
      <c r="AC299" s="47" t="str">
        <f t="shared" si="278"/>
        <v>0,130791536039164-0,333748331159632i</v>
      </c>
      <c r="AD299" s="20">
        <f t="shared" si="279"/>
        <v>-8.9111588554847074</v>
      </c>
      <c r="AE299" s="43">
        <f t="shared" si="280"/>
        <v>-68.600447156424835</v>
      </c>
      <c r="AF299" t="str">
        <f t="shared" si="262"/>
        <v>171,265703090588</v>
      </c>
      <c r="AG299" t="str">
        <f t="shared" si="263"/>
        <v>1+179,356912676726i</v>
      </c>
      <c r="AH299">
        <f t="shared" si="281"/>
        <v>179.35970039260968</v>
      </c>
      <c r="AI299">
        <f t="shared" si="282"/>
        <v>1.5652209094703273</v>
      </c>
      <c r="AJ299" t="str">
        <f t="shared" si="264"/>
        <v>1+0,613382893006805i</v>
      </c>
      <c r="AK299">
        <f t="shared" si="283"/>
        <v>1.1731319505637026</v>
      </c>
      <c r="AL299">
        <f t="shared" si="284"/>
        <v>0.55020179210952114</v>
      </c>
      <c r="AM299" t="str">
        <f t="shared" si="265"/>
        <v>1-0,0510020819933186i</v>
      </c>
      <c r="AN299">
        <f t="shared" si="285"/>
        <v>1.0012997614938561</v>
      </c>
      <c r="AO299">
        <f t="shared" si="286"/>
        <v>-5.0957928468990089E-2</v>
      </c>
      <c r="AP299" s="41" t="str">
        <f t="shared" si="287"/>
        <v>0,542484140284788-0,981735574687644i</v>
      </c>
      <c r="AQ299">
        <f t="shared" si="288"/>
        <v>0.99713015578421182</v>
      </c>
      <c r="AR299" s="43">
        <f t="shared" si="289"/>
        <v>-61.075985783870848</v>
      </c>
      <c r="AS299" t="str">
        <f t="shared" si="266"/>
        <v>-0,0000166666666666667</v>
      </c>
      <c r="AT299" t="str">
        <f t="shared" si="267"/>
        <v>0,0000621902099854121i</v>
      </c>
      <c r="AU299">
        <f t="shared" si="290"/>
        <v>6.2190209985412101E-5</v>
      </c>
      <c r="AV299">
        <f t="shared" si="291"/>
        <v>1.5707963267948966</v>
      </c>
      <c r="AW299" t="str">
        <f t="shared" si="268"/>
        <v>1+0,288181165369115i</v>
      </c>
      <c r="AX299">
        <f t="shared" si="292"/>
        <v>1.0406961055339361</v>
      </c>
      <c r="AY299">
        <f t="shared" si="293"/>
        <v>0.28057886991509917</v>
      </c>
      <c r="AZ299" t="str">
        <f t="shared" si="269"/>
        <v>1+13,3873250457834i</v>
      </c>
      <c r="BA299">
        <f t="shared" si="294"/>
        <v>13.42462185245676</v>
      </c>
      <c r="BB299">
        <f t="shared" si="295"/>
        <v>1.4962372724684716</v>
      </c>
      <c r="BC299" s="41" t="str">
        <f t="shared" si="296"/>
        <v>-3,24131903841199+1,20208211939561i</v>
      </c>
      <c r="BD299">
        <f t="shared" si="297"/>
        <v>10.774097165823775</v>
      </c>
      <c r="BE299" s="43">
        <f t="shared" si="298"/>
        <v>159.65209579592397</v>
      </c>
      <c r="BF299" s="41" t="str">
        <f t="shared" si="299"/>
        <v>-0,0227441945617718+1,23900698666691i</v>
      </c>
      <c r="BG299" s="20">
        <f t="shared" si="300"/>
        <v>1.8629383103390671</v>
      </c>
      <c r="BH299" s="43">
        <f t="shared" si="301"/>
        <v>91.051648639499135</v>
      </c>
      <c r="BI299" s="41" t="str">
        <f t="shared" si="255"/>
        <v>-0,578237391635054+3,83422869401344i</v>
      </c>
      <c r="BJ299" s="20">
        <f t="shared" si="302"/>
        <v>11.771227321607984</v>
      </c>
      <c r="BK299" s="43">
        <f t="shared" si="256"/>
        <v>98.576110012053135</v>
      </c>
      <c r="BL299">
        <f t="shared" si="303"/>
        <v>1.8629383103390671</v>
      </c>
      <c r="BM299" s="43">
        <f t="shared" si="304"/>
        <v>91.051648639499135</v>
      </c>
    </row>
    <row r="300" spans="14:65" x14ac:dyDescent="0.25">
      <c r="N300" s="9">
        <v>82</v>
      </c>
      <c r="O300" s="34">
        <f t="shared" si="305"/>
        <v>6606.9344800759654</v>
      </c>
      <c r="P300" s="33" t="str">
        <f t="shared" si="257"/>
        <v>54,631621870174</v>
      </c>
      <c r="Q300" s="4" t="str">
        <f t="shared" si="258"/>
        <v>1+185,308073352296i</v>
      </c>
      <c r="R300" s="4">
        <f t="shared" si="270"/>
        <v>185.31077154213108</v>
      </c>
      <c r="S300" s="4">
        <f t="shared" si="271"/>
        <v>1.5653999602202144</v>
      </c>
      <c r="T300" s="4" t="str">
        <f t="shared" si="259"/>
        <v>1+0,627670415998758i</v>
      </c>
      <c r="U300" s="4">
        <f t="shared" si="272"/>
        <v>1.1806651308140059</v>
      </c>
      <c r="V300" s="4">
        <f t="shared" si="273"/>
        <v>0.56051731018159368</v>
      </c>
      <c r="W300" t="str">
        <f t="shared" si="260"/>
        <v>1-0,165192676386922i</v>
      </c>
      <c r="X300" s="4">
        <f t="shared" si="274"/>
        <v>1.0135524753715883</v>
      </c>
      <c r="Y300" s="4">
        <f t="shared" si="275"/>
        <v>-0.16371418281301284</v>
      </c>
      <c r="Z300" t="str">
        <f t="shared" si="261"/>
        <v>0,999825393667104+0,0226961376501553i</v>
      </c>
      <c r="AA300" s="4">
        <f t="shared" si="276"/>
        <v>1.000082962801494</v>
      </c>
      <c r="AB300" s="4">
        <f t="shared" si="277"/>
        <v>2.2696203356818521E-2</v>
      </c>
      <c r="AC300" s="47" t="str">
        <f t="shared" si="278"/>
        <v>0,130683482509459-0,327661475461413i</v>
      </c>
      <c r="AD300" s="20">
        <f t="shared" si="279"/>
        <v>-9.050392468587134</v>
      </c>
      <c r="AE300" s="43">
        <f t="shared" si="280"/>
        <v>-68.256063138069891</v>
      </c>
      <c r="AF300" t="str">
        <f t="shared" si="262"/>
        <v>171,265703090588</v>
      </c>
      <c r="AG300" t="str">
        <f t="shared" si="263"/>
        <v>1+183,534671859205i</v>
      </c>
      <c r="AH300">
        <f t="shared" si="281"/>
        <v>183.53739611988084</v>
      </c>
      <c r="AI300">
        <f t="shared" si="282"/>
        <v>1.5653478189220362</v>
      </c>
      <c r="AJ300" t="str">
        <f t="shared" si="264"/>
        <v>1+0,627670415998758i</v>
      </c>
      <c r="AK300">
        <f t="shared" si="283"/>
        <v>1.1806651308140059</v>
      </c>
      <c r="AL300">
        <f t="shared" si="284"/>
        <v>0.56051731018159368</v>
      </c>
      <c r="AM300" t="str">
        <f t="shared" si="265"/>
        <v>1-0,0521900730954912i</v>
      </c>
      <c r="AN300">
        <f t="shared" si="285"/>
        <v>1.0013609757373776</v>
      </c>
      <c r="AO300">
        <f t="shared" si="286"/>
        <v>-5.2142765213970613E-2</v>
      </c>
      <c r="AP300" s="41" t="str">
        <f t="shared" si="287"/>
        <v>0,542245289034594-0,960765648023243i</v>
      </c>
      <c r="AQ300">
        <f t="shared" si="288"/>
        <v>0.85326470776005425</v>
      </c>
      <c r="AR300" s="43">
        <f t="shared" si="289"/>
        <v>-60.560107655712748</v>
      </c>
      <c r="AS300" t="str">
        <f t="shared" si="266"/>
        <v>-0,0000166666666666667</v>
      </c>
      <c r="AT300" t="str">
        <f t="shared" si="267"/>
        <v>0,0000636388060665407i</v>
      </c>
      <c r="AU300">
        <f t="shared" si="290"/>
        <v>6.3638806066540694E-5</v>
      </c>
      <c r="AV300">
        <f t="shared" si="291"/>
        <v>1.5707963267948966</v>
      </c>
      <c r="AW300" t="str">
        <f t="shared" si="268"/>
        <v>1+0,294893767029516i</v>
      </c>
      <c r="AX300">
        <f t="shared" si="292"/>
        <v>1.0425748576638794</v>
      </c>
      <c r="AY300">
        <f t="shared" si="293"/>
        <v>0.28676561852945315</v>
      </c>
      <c r="AZ300" t="str">
        <f t="shared" si="269"/>
        <v>1+13,6991559047348i</v>
      </c>
      <c r="BA300">
        <f t="shared" si="294"/>
        <v>13.735606011466343</v>
      </c>
      <c r="BB300">
        <f t="shared" si="295"/>
        <v>1.4979283729438</v>
      </c>
      <c r="BC300" s="41" t="str">
        <f t="shared" si="296"/>
        <v>-3,22964764973962+1,21429767172168i</v>
      </c>
      <c r="BD300">
        <f t="shared" si="297"/>
        <v>10.757346082162409</v>
      </c>
      <c r="BE300" s="43">
        <f t="shared" si="298"/>
        <v>159.3945141313819</v>
      </c>
      <c r="BF300" s="41" t="str">
        <f t="shared" si="299"/>
        <v>-0,0241830353807788+1,21691976267789i</v>
      </c>
      <c r="BG300" s="20">
        <f t="shared" si="300"/>
        <v>1.7069536135753078</v>
      </c>
      <c r="BH300" s="43">
        <f t="shared" si="301"/>
        <v>91.138450993311992</v>
      </c>
      <c r="BI300" s="41" t="str">
        <f t="shared" si="255"/>
        <v>-0,584605733848162+3,76138170906559i</v>
      </c>
      <c r="BJ300" s="20">
        <f t="shared" si="302"/>
        <v>11.610610789922472</v>
      </c>
      <c r="BK300" s="43">
        <f t="shared" si="256"/>
        <v>98.834406475669127</v>
      </c>
      <c r="BL300">
        <f t="shared" si="303"/>
        <v>1.7069536135753078</v>
      </c>
      <c r="BM300" s="43">
        <f t="shared" si="304"/>
        <v>91.138450993311992</v>
      </c>
    </row>
    <row r="301" spans="14:65" x14ac:dyDescent="0.25">
      <c r="N301" s="9">
        <v>83</v>
      </c>
      <c r="O301" s="34">
        <f t="shared" si="305"/>
        <v>6760.8297539198229</v>
      </c>
      <c r="P301" s="33" t="str">
        <f t="shared" si="257"/>
        <v>54,631621870174</v>
      </c>
      <c r="Q301" s="4" t="str">
        <f t="shared" si="258"/>
        <v>1+189,624452874452i</v>
      </c>
      <c r="R301" s="4">
        <f t="shared" si="270"/>
        <v>189.62708964685208</v>
      </c>
      <c r="S301" s="4">
        <f t="shared" si="271"/>
        <v>1.5655227942162884</v>
      </c>
      <c r="T301" s="4" t="str">
        <f t="shared" si="259"/>
        <v>1+0,642290738153475i</v>
      </c>
      <c r="U301" s="4">
        <f t="shared" si="272"/>
        <v>1.1885021633626653</v>
      </c>
      <c r="V301" s="4">
        <f t="shared" si="273"/>
        <v>0.57093659923573992</v>
      </c>
      <c r="W301" t="str">
        <f t="shared" si="260"/>
        <v>1-0,16904050812284i</v>
      </c>
      <c r="X301" s="4">
        <f t="shared" si="274"/>
        <v>1.0141867152484438</v>
      </c>
      <c r="Y301" s="4">
        <f t="shared" si="275"/>
        <v>-0.1674574681270049</v>
      </c>
      <c r="Z301" t="str">
        <f t="shared" si="261"/>
        <v>0,999817164724154+0,0232247986092433i</v>
      </c>
      <c r="AA301" s="4">
        <f t="shared" si="276"/>
        <v>1.0000868733002579</v>
      </c>
      <c r="AB301" s="4">
        <f t="shared" si="277"/>
        <v>2.3224869007883561E-2</v>
      </c>
      <c r="AC301" s="47" t="str">
        <f t="shared" si="278"/>
        <v>0,130577228328292-0,321748267565881i</v>
      </c>
      <c r="AD301" s="20">
        <f t="shared" si="279"/>
        <v>-9.187522375624054</v>
      </c>
      <c r="AE301" s="43">
        <f t="shared" si="280"/>
        <v>-67.910884479880863</v>
      </c>
      <c r="AF301" t="str">
        <f t="shared" si="262"/>
        <v>171,265703090588</v>
      </c>
      <c r="AG301" t="str">
        <f t="shared" si="263"/>
        <v>1+187,809743554072i</v>
      </c>
      <c r="AH301">
        <f t="shared" si="281"/>
        <v>187.81240580389328</v>
      </c>
      <c r="AI301">
        <f t="shared" si="282"/>
        <v>1.5654718397315295</v>
      </c>
      <c r="AJ301" t="str">
        <f t="shared" si="264"/>
        <v>1+0,642290738153475i</v>
      </c>
      <c r="AK301">
        <f t="shared" si="283"/>
        <v>1.1885021633626653</v>
      </c>
      <c r="AL301">
        <f t="shared" si="284"/>
        <v>0.57093659923573992</v>
      </c>
      <c r="AM301" t="str">
        <f t="shared" si="265"/>
        <v>1-0,0534057360652365i</v>
      </c>
      <c r="AN301">
        <f t="shared" si="285"/>
        <v>1.0014250709087873</v>
      </c>
      <c r="AO301">
        <f t="shared" si="286"/>
        <v>-5.335504865206387E-2</v>
      </c>
      <c r="AP301" s="41" t="str">
        <f t="shared" si="287"/>
        <v>0,54201718723761-0,940305014850011i</v>
      </c>
      <c r="AQ301">
        <f t="shared" si="288"/>
        <v>0.71129124741122052</v>
      </c>
      <c r="AR301" s="43">
        <f t="shared" si="289"/>
        <v>-60.039690960915337</v>
      </c>
      <c r="AS301" t="str">
        <f t="shared" si="266"/>
        <v>-0,0000166666666666667</v>
      </c>
      <c r="AT301" t="str">
        <f t="shared" si="267"/>
        <v>0,0000651211442850051i</v>
      </c>
      <c r="AU301">
        <f t="shared" si="290"/>
        <v>6.5121144285005102E-5</v>
      </c>
      <c r="AV301">
        <f t="shared" si="291"/>
        <v>1.5707963267948966</v>
      </c>
      <c r="AW301" t="str">
        <f t="shared" si="268"/>
        <v>1+0,301762725268577i</v>
      </c>
      <c r="AX301">
        <f t="shared" si="292"/>
        <v>1.0445385308170869</v>
      </c>
      <c r="AY301">
        <f t="shared" si="293"/>
        <v>0.29307318801555787</v>
      </c>
      <c r="AZ301" t="str">
        <f t="shared" si="269"/>
        <v>1+14,0182502374766i</v>
      </c>
      <c r="BA301">
        <f t="shared" si="294"/>
        <v>14.05387276591448</v>
      </c>
      <c r="BB301">
        <f t="shared" si="295"/>
        <v>1.4995813828119005</v>
      </c>
      <c r="BC301" s="41" t="str">
        <f t="shared" si="296"/>
        <v>-3,21751595536336+1,2268596419784i</v>
      </c>
      <c r="BD301">
        <f t="shared" si="297"/>
        <v>10.739965580060897</v>
      </c>
      <c r="BE301" s="43">
        <f t="shared" si="298"/>
        <v>159.12782750977817</v>
      </c>
      <c r="BF301" s="41" t="str">
        <f t="shared" si="299"/>
        <v>-0,0253943512003569+1,19543011610112i</v>
      </c>
      <c r="BG301" s="20">
        <f t="shared" si="300"/>
        <v>1.5524432044368304</v>
      </c>
      <c r="BH301" s="43">
        <f t="shared" si="301"/>
        <v>91.216943029897308</v>
      </c>
      <c r="BI301" s="41" t="str">
        <f t="shared" si="255"/>
        <v>-0,590326674148802+3,69042540046857i</v>
      </c>
      <c r="BJ301" s="20">
        <f t="shared" si="302"/>
        <v>11.451256827472132</v>
      </c>
      <c r="BK301" s="43">
        <f t="shared" si="256"/>
        <v>99.088136548862835</v>
      </c>
      <c r="BL301">
        <f t="shared" si="303"/>
        <v>1.5524432044368304</v>
      </c>
      <c r="BM301" s="43">
        <f t="shared" si="304"/>
        <v>91.216943029897308</v>
      </c>
    </row>
    <row r="302" spans="14:65" x14ac:dyDescent="0.25">
      <c r="N302" s="9">
        <v>84</v>
      </c>
      <c r="O302" s="34">
        <f t="shared" si="305"/>
        <v>6918.3097091893687</v>
      </c>
      <c r="P302" s="33" t="str">
        <f t="shared" si="257"/>
        <v>54,631621870174</v>
      </c>
      <c r="Q302" s="4" t="str">
        <f t="shared" si="258"/>
        <v>1+194,041373791499i</v>
      </c>
      <c r="R302" s="4">
        <f t="shared" si="270"/>
        <v>194.04395054443785</v>
      </c>
      <c r="S302" s="4">
        <f t="shared" si="271"/>
        <v>1.5656428323230231</v>
      </c>
      <c r="T302" s="4" t="str">
        <f t="shared" si="259"/>
        <v>1+0,657251611359283i</v>
      </c>
      <c r="U302" s="4">
        <f t="shared" si="272"/>
        <v>1.1966535340834346</v>
      </c>
      <c r="V302" s="4">
        <f t="shared" si="273"/>
        <v>0.58145613435541954</v>
      </c>
      <c r="W302" t="str">
        <f t="shared" si="260"/>
        <v>1-0,17297796737368i</v>
      </c>
      <c r="X302" s="4">
        <f t="shared" si="274"/>
        <v>1.0148504210950153</v>
      </c>
      <c r="Y302" s="4">
        <f t="shared" si="275"/>
        <v>-0.17128304715421241</v>
      </c>
      <c r="Z302" t="str">
        <f t="shared" si="261"/>
        <v>0,999808547963071+0,0237657736639705i</v>
      </c>
      <c r="AA302" s="4">
        <f t="shared" si="276"/>
        <v>1.0000909681513335</v>
      </c>
      <c r="AB302" s="4">
        <f t="shared" si="277"/>
        <v>2.3765849089261912E-2</v>
      </c>
      <c r="AC302" s="47" t="str">
        <f t="shared" si="278"/>
        <v>0,130472548215108-0,316005571326095i</v>
      </c>
      <c r="AD302" s="20">
        <f t="shared" si="279"/>
        <v>-9.3225011047197643</v>
      </c>
      <c r="AE302" s="43">
        <f t="shared" si="280"/>
        <v>-67.565222599896529</v>
      </c>
      <c r="AF302" t="str">
        <f t="shared" si="262"/>
        <v>171,265703090588</v>
      </c>
      <c r="AG302" t="str">
        <f t="shared" si="263"/>
        <v>1+192,184394460927i</v>
      </c>
      <c r="AH302">
        <f t="shared" si="281"/>
        <v>192.18699611137376</v>
      </c>
      <c r="AI302">
        <f t="shared" si="282"/>
        <v>1.5655930376410123</v>
      </c>
      <c r="AJ302" t="str">
        <f t="shared" si="264"/>
        <v>1+0,657251611359283i</v>
      </c>
      <c r="AK302">
        <f t="shared" si="283"/>
        <v>1.1966535340834346</v>
      </c>
      <c r="AL302">
        <f t="shared" si="284"/>
        <v>0.58145613435541954</v>
      </c>
      <c r="AM302" t="str">
        <f t="shared" si="265"/>
        <v>1-0,054649715463152i</v>
      </c>
      <c r="AN302">
        <f t="shared" si="285"/>
        <v>1.0014921823959504</v>
      </c>
      <c r="AO302">
        <f t="shared" si="286"/>
        <v>-5.4595407291035583E-2</v>
      </c>
      <c r="AP302" s="41" t="str">
        <f t="shared" si="287"/>
        <v>0,54179935114363-0,920342834489743i</v>
      </c>
      <c r="AQ302">
        <f t="shared" si="288"/>
        <v>0.57124788609454558</v>
      </c>
      <c r="AR302" s="43">
        <f t="shared" si="289"/>
        <v>-59.514977439913103</v>
      </c>
      <c r="AS302" t="str">
        <f t="shared" si="266"/>
        <v>-0,0000166666666666667</v>
      </c>
      <c r="AT302" t="str">
        <f t="shared" si="267"/>
        <v>0,0000666380105961496i</v>
      </c>
      <c r="AU302">
        <f t="shared" si="290"/>
        <v>6.6638010596149603E-5</v>
      </c>
      <c r="AV302">
        <f t="shared" si="291"/>
        <v>1.5707963267948966</v>
      </c>
      <c r="AW302" t="str">
        <f t="shared" si="268"/>
        <v>1+0,308791682098877i</v>
      </c>
      <c r="AX302">
        <f t="shared" si="292"/>
        <v>1.0465908001379784</v>
      </c>
      <c r="AY302">
        <f t="shared" si="293"/>
        <v>0.2995029143814712</v>
      </c>
      <c r="AZ302" t="str">
        <f t="shared" si="269"/>
        <v>1+14,3447772320478i</v>
      </c>
      <c r="BA302">
        <f t="shared" si="294"/>
        <v>14.379590878640355</v>
      </c>
      <c r="BB302">
        <f t="shared" si="295"/>
        <v>1.5011971423661963</v>
      </c>
      <c r="BC302" s="41" t="str">
        <f t="shared" si="296"/>
        <v>-3,20490981524147+1,23975699929875i</v>
      </c>
      <c r="BD302">
        <f t="shared" si="297"/>
        <v>10.721926868972414</v>
      </c>
      <c r="BE302" s="43">
        <f t="shared" si="298"/>
        <v>158.8520075287565</v>
      </c>
      <c r="BF302" s="41" t="str">
        <f t="shared" si="299"/>
        <v>-0,0263826315252389+1,17452361208001i</v>
      </c>
      <c r="BG302" s="20">
        <f t="shared" si="300"/>
        <v>1.3994257642526184</v>
      </c>
      <c r="BH302" s="43">
        <f t="shared" si="301"/>
        <v>91.286784928859973</v>
      </c>
      <c r="BI302" s="41" t="str">
        <f t="shared" si="255"/>
        <v>-0,59541658755857+3,62131532143917i</v>
      </c>
      <c r="BJ302" s="20">
        <f t="shared" si="302"/>
        <v>11.293174755066959</v>
      </c>
      <c r="BK302" s="43">
        <f t="shared" si="256"/>
        <v>99.337030088843406</v>
      </c>
      <c r="BL302">
        <f t="shared" si="303"/>
        <v>1.3994257642526184</v>
      </c>
      <c r="BM302" s="43">
        <f t="shared" si="304"/>
        <v>91.286784928859973</v>
      </c>
    </row>
    <row r="303" spans="14:65" x14ac:dyDescent="0.25">
      <c r="N303" s="9">
        <v>85</v>
      </c>
      <c r="O303" s="34">
        <f t="shared" si="305"/>
        <v>7079.4578438413828</v>
      </c>
      <c r="P303" s="33" t="str">
        <f t="shared" si="257"/>
        <v>54,631621870174</v>
      </c>
      <c r="Q303" s="4" t="str">
        <f t="shared" si="258"/>
        <v>1+198,561178013371i</v>
      </c>
      <c r="R303" s="4">
        <f t="shared" si="270"/>
        <v>198.56369611300451</v>
      </c>
      <c r="S303" s="4">
        <f t="shared" si="271"/>
        <v>1.5657601381723667</v>
      </c>
      <c r="T303" s="4" t="str">
        <f t="shared" si="259"/>
        <v>1+0,672560968069188i</v>
      </c>
      <c r="U303" s="4">
        <f t="shared" si="272"/>
        <v>1.2051299746376585</v>
      </c>
      <c r="V303" s="4">
        <f t="shared" si="273"/>
        <v>0.59207218015534646</v>
      </c>
      <c r="W303" t="str">
        <f t="shared" si="260"/>
        <v>1-0,177007141832455i</v>
      </c>
      <c r="X303" s="4">
        <f t="shared" si="274"/>
        <v>1.0155449415263191</v>
      </c>
      <c r="Y303" s="4">
        <f t="shared" si="275"/>
        <v>-0.17519250014228388</v>
      </c>
      <c r="Z303" t="str">
        <f t="shared" si="261"/>
        <v>0,999799525106549+0,0243193496464715i</v>
      </c>
      <c r="AA303" s="4">
        <f t="shared" si="276"/>
        <v>1.0000952560483967</v>
      </c>
      <c r="AB303" s="4">
        <f t="shared" si="277"/>
        <v>2.4319430456914912E-2</v>
      </c>
      <c r="AC303" s="47" t="str">
        <f t="shared" si="278"/>
        <v>0,130369220232916-0,310430340604008i</v>
      </c>
      <c r="AD303" s="20">
        <f t="shared" si="279"/>
        <v>-9.4552817174111343</v>
      </c>
      <c r="AE303" s="43">
        <f t="shared" si="280"/>
        <v>-67.219402142927677</v>
      </c>
      <c r="AF303" t="str">
        <f t="shared" si="262"/>
        <v>171,265703090588</v>
      </c>
      <c r="AG303" t="str">
        <f t="shared" si="263"/>
        <v>1+196,660944077587i</v>
      </c>
      <c r="AH303">
        <f t="shared" si="281"/>
        <v>196.66348650801402</v>
      </c>
      <c r="AI303">
        <f t="shared" si="282"/>
        <v>1.5657114768969704</v>
      </c>
      <c r="AJ303" t="str">
        <f t="shared" si="264"/>
        <v>1+0,672560968069188i</v>
      </c>
      <c r="AK303">
        <f t="shared" si="283"/>
        <v>1.2051299746376585</v>
      </c>
      <c r="AL303">
        <f t="shared" si="284"/>
        <v>0.59207218015534646</v>
      </c>
      <c r="AM303" t="str">
        <f t="shared" si="265"/>
        <v>1-0,0559226708635806i</v>
      </c>
      <c r="AN303">
        <f t="shared" si="285"/>
        <v>1.0015624519302411</v>
      </c>
      <c r="AO303">
        <f t="shared" si="286"/>
        <v>-5.5864483510570911E-2</v>
      </c>
      <c r="AP303" s="41" t="str">
        <f t="shared" si="287"/>
        <v>0,54159131876998-0,900868530028582i</v>
      </c>
      <c r="AQ303">
        <f t="shared" si="288"/>
        <v>0.43317181749079608</v>
      </c>
      <c r="AR303" s="43">
        <f t="shared" si="289"/>
        <v>-58.986221601214631</v>
      </c>
      <c r="AS303" t="str">
        <f t="shared" si="266"/>
        <v>-0,0000166666666666667</v>
      </c>
      <c r="AT303" t="str">
        <f t="shared" si="267"/>
        <v>0,0000681902092625705i</v>
      </c>
      <c r="AU303">
        <f t="shared" si="290"/>
        <v>6.8190209262570498E-5</v>
      </c>
      <c r="AV303">
        <f t="shared" si="291"/>
        <v>1.5707963267948966</v>
      </c>
      <c r="AW303" t="str">
        <f t="shared" si="268"/>
        <v>1+0,315984364366367i</v>
      </c>
      <c r="AX303">
        <f t="shared" si="292"/>
        <v>1.0487354854890802</v>
      </c>
      <c r="AY303">
        <f t="shared" si="293"/>
        <v>0.30605607946126362</v>
      </c>
      <c r="AZ303" t="str">
        <f t="shared" si="269"/>
        <v>1+14,6789100173831i</v>
      </c>
      <c r="BA303">
        <f t="shared" si="294"/>
        <v>14.712933062392075</v>
      </c>
      <c r="BB303">
        <f t="shared" si="295"/>
        <v>1.5027764745390093</v>
      </c>
      <c r="BC303" s="41" t="str">
        <f t="shared" si="296"/>
        <v>-3,19181500729381+1,25297800082271i</v>
      </c>
      <c r="BD303">
        <f t="shared" si="297"/>
        <v>10.703200445722452</v>
      </c>
      <c r="BE303" s="43">
        <f t="shared" si="298"/>
        <v>158.56702789518337</v>
      </c>
      <c r="BF303" s="41" t="str">
        <f t="shared" si="299"/>
        <v>-0,0271520460638902+1,15418598479546i</v>
      </c>
      <c r="BG303" s="20">
        <f t="shared" si="300"/>
        <v>1.247918728311344</v>
      </c>
      <c r="BH303" s="43">
        <f t="shared" si="301"/>
        <v>91.347625752255681</v>
      </c>
      <c r="BI303" s="41" t="str">
        <f t="shared" si="255"/>
        <v>-0,599890849310762+3,55400770159929i</v>
      </c>
      <c r="BJ303" s="20">
        <f t="shared" si="302"/>
        <v>11.136372263213254</v>
      </c>
      <c r="BK303" s="43">
        <f t="shared" si="256"/>
        <v>99.580806293968735</v>
      </c>
      <c r="BL303">
        <f t="shared" si="303"/>
        <v>1.247918728311344</v>
      </c>
      <c r="BM303" s="43">
        <f t="shared" si="304"/>
        <v>91.347625752255681</v>
      </c>
    </row>
    <row r="304" spans="14:65" x14ac:dyDescent="0.25">
      <c r="N304" s="9">
        <v>86</v>
      </c>
      <c r="O304" s="34">
        <f t="shared" si="305"/>
        <v>7244.3596007499036</v>
      </c>
      <c r="P304" s="33" t="str">
        <f t="shared" si="257"/>
        <v>54,631621870174</v>
      </c>
      <c r="Q304" s="4" t="str">
        <f t="shared" si="258"/>
        <v>1+203,186262000095i</v>
      </c>
      <c r="R304" s="4">
        <f t="shared" si="270"/>
        <v>203.18872278148521</v>
      </c>
      <c r="S304" s="4">
        <f t="shared" si="271"/>
        <v>1.5658747739485119</v>
      </c>
      <c r="T304" s="4" t="str">
        <f t="shared" si="259"/>
        <v>1+0,688226925506761i</v>
      </c>
      <c r="U304" s="4">
        <f t="shared" si="272"/>
        <v>1.2139424619777037</v>
      </c>
      <c r="V304" s="4">
        <f t="shared" si="273"/>
        <v>0.60278079383649219</v>
      </c>
      <c r="W304" t="str">
        <f t="shared" si="260"/>
        <v>1-0,181130167820797i</v>
      </c>
      <c r="X304" s="4">
        <f t="shared" si="274"/>
        <v>1.0162716849813294</v>
      </c>
      <c r="Y304" s="4">
        <f t="shared" si="275"/>
        <v>-0.17918742168579524</v>
      </c>
      <c r="Z304" t="str">
        <f t="shared" si="261"/>
        <v>0,9997900770159+0,0248858200700598i</v>
      </c>
      <c r="AA304" s="4">
        <f t="shared" si="276"/>
        <v>1.0000997460953673</v>
      </c>
      <c r="AB304" s="4">
        <f t="shared" si="277"/>
        <v>2.4885906649673578E-2</v>
      </c>
      <c r="AC304" s="47" t="str">
        <f t="shared" si="278"/>
        <v>0,130267025318413-0,305019617649242i</v>
      </c>
      <c r="AD304" s="20">
        <f t="shared" si="279"/>
        <v>-9.5858179077777645</v>
      </c>
      <c r="AE304" s="43">
        <f t="shared" si="280"/>
        <v>-66.873760759685112</v>
      </c>
      <c r="AF304" t="str">
        <f t="shared" si="262"/>
        <v>171,265703090588</v>
      </c>
      <c r="AG304" t="str">
        <f t="shared" si="263"/>
        <v>1+201,241765929912i</v>
      </c>
      <c r="AH304">
        <f t="shared" si="281"/>
        <v>201.24425048827976</v>
      </c>
      <c r="AI304">
        <f t="shared" si="282"/>
        <v>1.5658272202841659</v>
      </c>
      <c r="AJ304" t="str">
        <f t="shared" si="264"/>
        <v>1+0,688226925506761i</v>
      </c>
      <c r="AK304">
        <f t="shared" si="283"/>
        <v>1.2139424619777037</v>
      </c>
      <c r="AL304">
        <f t="shared" si="284"/>
        <v>0.60278079383649219</v>
      </c>
      <c r="AM304" t="str">
        <f t="shared" si="265"/>
        <v>1-0,0572252772043252i</v>
      </c>
      <c r="AN304">
        <f t="shared" si="285"/>
        <v>1.0016360278819407</v>
      </c>
      <c r="AO304">
        <f t="shared" si="286"/>
        <v>-5.7162933831086782E-2</v>
      </c>
      <c r="AP304" s="41" t="str">
        <f t="shared" si="287"/>
        <v>0,541392648922222-0,881871782743839i</v>
      </c>
      <c r="AQ304">
        <f t="shared" si="288"/>
        <v>0.2970992054834703</v>
      </c>
      <c r="AR304" s="43">
        <f t="shared" si="289"/>
        <v>-58.453690563714474</v>
      </c>
      <c r="AS304" t="str">
        <f t="shared" si="266"/>
        <v>-0,0000166666666666667</v>
      </c>
      <c r="AT304" t="str">
        <f t="shared" si="267"/>
        <v>0,0000697785632805466i</v>
      </c>
      <c r="AU304">
        <f t="shared" si="290"/>
        <v>6.9778563280546604E-5</v>
      </c>
      <c r="AV304">
        <f t="shared" si="291"/>
        <v>1.5707963267948966</v>
      </c>
      <c r="AW304" t="str">
        <f t="shared" si="268"/>
        <v>1+0,323344585726393i</v>
      </c>
      <c r="AX304">
        <f t="shared" si="292"/>
        <v>1.0509765559319451</v>
      </c>
      <c r="AY304">
        <f t="shared" si="293"/>
        <v>0.31273390566861209</v>
      </c>
      <c r="AZ304" t="str">
        <f t="shared" si="269"/>
        <v>1+15,0208257551079i</v>
      </c>
      <c r="BA304">
        <f t="shared" si="294"/>
        <v>15.054076071460276</v>
      </c>
      <c r="BB304">
        <f t="shared" si="295"/>
        <v>1.5043201851809489</v>
      </c>
      <c r="BC304" s="41" t="str">
        <f t="shared" si="296"/>
        <v>-3,17821726198907+1,26651015831839i</v>
      </c>
      <c r="BD304">
        <f t="shared" si="297"/>
        <v>10.683756086676993</v>
      </c>
      <c r="BE304" s="43">
        <f t="shared" si="298"/>
        <v>158.27286474175293</v>
      </c>
      <c r="BF304" s="41" t="str">
        <f t="shared" si="299"/>
        <v>-0,0277064642957912+1,13440312491782i</v>
      </c>
      <c r="BG304" s="20">
        <f t="shared" si="300"/>
        <v>1.0979381788992593</v>
      </c>
      <c r="BH304" s="43">
        <f t="shared" si="301"/>
        <v>91.399103982067828</v>
      </c>
      <c r="BI304" s="41" t="str">
        <f t="shared" si="255"/>
        <v>-0,603763891139174+3,48845941227644i</v>
      </c>
      <c r="BJ304" s="20">
        <f t="shared" si="302"/>
        <v>10.980855292160463</v>
      </c>
      <c r="BK304" s="43">
        <f t="shared" si="256"/>
        <v>99.819174178038452</v>
      </c>
      <c r="BL304">
        <f t="shared" si="303"/>
        <v>1.0979381788992593</v>
      </c>
      <c r="BM304" s="43">
        <f t="shared" si="304"/>
        <v>91.399103982067828</v>
      </c>
    </row>
    <row r="305" spans="14:65" x14ac:dyDescent="0.25">
      <c r="N305" s="9">
        <v>87</v>
      </c>
      <c r="O305" s="34">
        <f t="shared" si="305"/>
        <v>7413.1024130091773</v>
      </c>
      <c r="P305" s="33" t="str">
        <f t="shared" si="257"/>
        <v>54,631621870174</v>
      </c>
      <c r="Q305" s="4" t="str">
        <f t="shared" si="258"/>
        <v>1+207,919078032418i</v>
      </c>
      <c r="R305" s="4">
        <f t="shared" si="270"/>
        <v>207.92148280024057</v>
      </c>
      <c r="S305" s="4">
        <f t="shared" si="271"/>
        <v>1.5659868004208062</v>
      </c>
      <c r="T305" s="4" t="str">
        <f t="shared" si="259"/>
        <v>1+0,704257789969997i</v>
      </c>
      <c r="U305" s="4">
        <f t="shared" si="272"/>
        <v>1.2231022176144659</v>
      </c>
      <c r="V305" s="4">
        <f t="shared" si="273"/>
        <v>0.61357782920661985</v>
      </c>
      <c r="W305" t="str">
        <f t="shared" si="260"/>
        <v>1-0,185349231421659i</v>
      </c>
      <c r="X305" s="4">
        <f t="shared" si="274"/>
        <v>1.0170321222009655</v>
      </c>
      <c r="Y305" s="4">
        <f t="shared" si="275"/>
        <v>-0.18326941964038868</v>
      </c>
      <c r="Z305" t="str">
        <f t="shared" si="261"/>
        <v>0,999780183650457+0,0254654852848519i</v>
      </c>
      <c r="AA305" s="4">
        <f t="shared" si="276"/>
        <v>1.000104447825793</v>
      </c>
      <c r="AB305" s="4">
        <f t="shared" si="277"/>
        <v>2.5465578044982003E-2</v>
      </c>
      <c r="AC305" s="47" t="str">
        <f t="shared" si="278"/>
        <v>0,130165746818249-0,299770531522805i</v>
      </c>
      <c r="AD305" s="20">
        <f t="shared" si="279"/>
        <v>-9.7140641012327116</v>
      </c>
      <c r="AE305" s="43">
        <f t="shared" si="280"/>
        <v>-66.528648825014386</v>
      </c>
      <c r="AF305" t="str">
        <f t="shared" si="262"/>
        <v>171,265703090588</v>
      </c>
      <c r="AG305" t="str">
        <f t="shared" si="263"/>
        <v>1+205,929288830283i</v>
      </c>
      <c r="AH305">
        <f t="shared" si="281"/>
        <v>205.93171683387223</v>
      </c>
      <c r="AI305">
        <f t="shared" si="282"/>
        <v>1.5659403291588629</v>
      </c>
      <c r="AJ305" t="str">
        <f t="shared" si="264"/>
        <v>1+0,704257789969997i</v>
      </c>
      <c r="AK305">
        <f t="shared" si="283"/>
        <v>1.2231022176144659</v>
      </c>
      <c r="AL305">
        <f t="shared" si="284"/>
        <v>0.61357782920661985</v>
      </c>
      <c r="AM305" t="str">
        <f t="shared" si="265"/>
        <v>1-0,0585582251445095i</v>
      </c>
      <c r="AN305">
        <f t="shared" si="285"/>
        <v>1.0017130655692152</v>
      </c>
      <c r="AO305">
        <f t="shared" si="286"/>
        <v>-5.8491429184996425E-2</v>
      </c>
      <c r="AP305" s="41" t="str">
        <f t="shared" si="287"/>
        <v>0,541202920258908-0,863342526665384i</v>
      </c>
      <c r="AQ305">
        <f t="shared" si="288"/>
        <v>0.16306507220620003</v>
      </c>
      <c r="AR305" s="43">
        <f t="shared" si="289"/>
        <v>-57.917663843780161</v>
      </c>
      <c r="AS305" t="str">
        <f t="shared" si="266"/>
        <v>-0,0000166666666666667</v>
      </c>
      <c r="AT305" t="str">
        <f t="shared" si="267"/>
        <v>0,0000714039148164024i</v>
      </c>
      <c r="AU305">
        <f t="shared" si="290"/>
        <v>7.1403914816402394E-5</v>
      </c>
      <c r="AV305">
        <f t="shared" si="291"/>
        <v>1.5707963267948966</v>
      </c>
      <c r="AW305" t="str">
        <f t="shared" si="268"/>
        <v>1+0,330876248665741i</v>
      </c>
      <c r="AX305">
        <f t="shared" si="292"/>
        <v>1.0533181342458284</v>
      </c>
      <c r="AY305">
        <f t="shared" si="293"/>
        <v>0.31953755054444755</v>
      </c>
      <c r="AZ305" t="str">
        <f t="shared" si="269"/>
        <v>1+15,3707057334721i</v>
      </c>
      <c r="BA305">
        <f t="shared" si="294"/>
        <v>15.403200795451319</v>
      </c>
      <c r="BB305">
        <f t="shared" si="295"/>
        <v>1.5058290633414491</v>
      </c>
      <c r="BC305" s="41" t="str">
        <f t="shared" si="296"/>
        <v>-3,16410230021419+1,28034020556904i</v>
      </c>
      <c r="BD305">
        <f t="shared" si="297"/>
        <v>10.663562842146288</v>
      </c>
      <c r="BE305" s="43">
        <f t="shared" si="298"/>
        <v>157.96949695545797</v>
      </c>
      <c r="BF305" s="41" t="str">
        <f t="shared" si="299"/>
        <v>-0,028049474963271+1,11516106736706i</v>
      </c>
      <c r="BG305" s="20">
        <f t="shared" si="300"/>
        <v>0.94949874091356068</v>
      </c>
      <c r="BH305" s="43">
        <f t="shared" si="301"/>
        <v>91.440848130443598</v>
      </c>
      <c r="BI305" s="41" t="str">
        <f t="shared" si="255"/>
        <v>-0,607049256806595+3,42462793267353i</v>
      </c>
      <c r="BJ305" s="20">
        <f t="shared" si="302"/>
        <v>10.826627914352493</v>
      </c>
      <c r="BK305" s="43">
        <f t="shared" si="256"/>
        <v>100.05183311167781</v>
      </c>
      <c r="BL305">
        <f t="shared" si="303"/>
        <v>0.94949874091356068</v>
      </c>
      <c r="BM305" s="43">
        <f t="shared" si="304"/>
        <v>91.440848130443598</v>
      </c>
    </row>
    <row r="306" spans="14:65" x14ac:dyDescent="0.25">
      <c r="N306" s="9">
        <v>88</v>
      </c>
      <c r="O306" s="34">
        <f t="shared" si="305"/>
        <v>7585.7757502918394</v>
      </c>
      <c r="P306" s="33" t="str">
        <f t="shared" si="257"/>
        <v>54,631621870174</v>
      </c>
      <c r="Q306" s="4" t="str">
        <f t="shared" si="258"/>
        <v>1+212,762135512049i</v>
      </c>
      <c r="R306" s="4">
        <f t="shared" si="270"/>
        <v>212.76448554128461</v>
      </c>
      <c r="S306" s="4">
        <f t="shared" si="271"/>
        <v>1.5660962769759141</v>
      </c>
      <c r="T306" s="4" t="str">
        <f t="shared" si="259"/>
        <v>1+0,720662061235429i</v>
      </c>
      <c r="U306" s="4">
        <f t="shared" si="272"/>
        <v>1.2326207066669361</v>
      </c>
      <c r="V306" s="4">
        <f t="shared" si="273"/>
        <v>0.62445894168347926</v>
      </c>
      <c r="W306" t="str">
        <f t="shared" si="260"/>
        <v>1-0,189666569638407i</v>
      </c>
      <c r="X306" s="4">
        <f t="shared" si="274"/>
        <v>1.0178277887925837</v>
      </c>
      <c r="Y306" s="4">
        <f t="shared" si="275"/>
        <v>-0.18744011393107773</v>
      </c>
      <c r="Z306" t="str">
        <f t="shared" si="261"/>
        <v>0,999769824025065+0,0260586526370176i</v>
      </c>
      <c r="AA306" s="4">
        <f t="shared" si="276"/>
        <v>1.0001093712231508</v>
      </c>
      <c r="AB306" s="4">
        <f t="shared" si="277"/>
        <v>2.6058752018275334E-2</v>
      </c>
      <c r="AC306" s="47" t="str">
        <f t="shared" si="278"/>
        <v>0,130065170030454-0,29468029656484i</v>
      </c>
      <c r="AD306" s="20">
        <f t="shared" si="279"/>
        <v>-9.8399755522910066</v>
      </c>
      <c r="AE306" s="43">
        <f t="shared" si="280"/>
        <v>-66.184429093928898</v>
      </c>
      <c r="AF306" t="str">
        <f t="shared" si="262"/>
        <v>171,265703090588</v>
      </c>
      <c r="AG306" t="str">
        <f t="shared" si="263"/>
        <v>1+210,725998165388i</v>
      </c>
      <c r="AH306">
        <f t="shared" si="281"/>
        <v>210.72837090149756</v>
      </c>
      <c r="AI306">
        <f t="shared" si="282"/>
        <v>1.5660508634813008</v>
      </c>
      <c r="AJ306" t="str">
        <f t="shared" si="264"/>
        <v>1+0,720662061235429i</v>
      </c>
      <c r="AK306">
        <f t="shared" si="283"/>
        <v>1.2326207066669361</v>
      </c>
      <c r="AL306">
        <f t="shared" si="284"/>
        <v>0.62445894168347926</v>
      </c>
      <c r="AM306" t="str">
        <f t="shared" si="265"/>
        <v>1-0,0599222214307753i</v>
      </c>
      <c r="AN306">
        <f t="shared" si="285"/>
        <v>1.0017937275812816</v>
      </c>
      <c r="AO306">
        <f t="shared" si="286"/>
        <v>-5.9850655190220432E-2</v>
      </c>
      <c r="AP306" s="41" t="str">
        <f t="shared" si="287"/>
        <v>0,541021730398431-0,84527094326885i</v>
      </c>
      <c r="AQ306">
        <f t="shared" si="288"/>
        <v>3.1103186969865419E-2</v>
      </c>
      <c r="AR306" s="43">
        <f t="shared" si="289"/>
        <v>-57.378433086119884</v>
      </c>
      <c r="AS306" t="str">
        <f t="shared" si="266"/>
        <v>-0,0000166666666666667</v>
      </c>
      <c r="AT306" t="str">
        <f t="shared" si="267"/>
        <v>0,0000730671256530365i</v>
      </c>
      <c r="AU306">
        <f t="shared" si="290"/>
        <v>7.3067125653036502E-5</v>
      </c>
      <c r="AV306">
        <f t="shared" si="291"/>
        <v>1.5707963267948966</v>
      </c>
      <c r="AW306" t="str">
        <f t="shared" si="268"/>
        <v>1+0,338583346571797i</v>
      </c>
      <c r="AX306">
        <f t="shared" si="292"/>
        <v>1.0557645014754746</v>
      </c>
      <c r="AY306">
        <f t="shared" si="293"/>
        <v>0.32646810110430469</v>
      </c>
      <c r="AZ306" t="str">
        <f t="shared" si="269"/>
        <v>1+15,7287354634717i</v>
      </c>
      <c r="BA306">
        <f t="shared" si="294"/>
        <v>15.760492355249323</v>
      </c>
      <c r="BB306">
        <f t="shared" si="295"/>
        <v>1.5073038815499449</v>
      </c>
      <c r="BC306" s="41" t="str">
        <f t="shared" si="296"/>
        <v>-3,14945587453197+1,29445406678884i</v>
      </c>
      <c r="BD306">
        <f t="shared" si="297"/>
        <v>10.642589033205743</v>
      </c>
      <c r="BE306" s="43">
        <f t="shared" si="298"/>
        <v>157.65690651757191</v>
      </c>
      <c r="BF306" s="41" t="str">
        <f t="shared" si="299"/>
        <v>-0,0281844055335143+1,09644597941846i</v>
      </c>
      <c r="BG306" s="20">
        <f t="shared" si="300"/>
        <v>0.80261348091472096</v>
      </c>
      <c r="BH306" s="43">
        <f t="shared" si="301"/>
        <v>91.472477423643028</v>
      </c>
      <c r="BI306" s="41" t="str">
        <f t="shared" ref="BI306:BI369" si="306">IMPRODUCT(AP306,BC306)</f>
        <v>-0,609759656999989+3,36247131698464i</v>
      </c>
      <c r="BJ306" s="20">
        <f t="shared" si="302"/>
        <v>10.673692220175599</v>
      </c>
      <c r="BK306" s="43">
        <f t="shared" ref="BK306:BK369" si="307">(180/PI())*IMARGUMENT(BI306)</f>
        <v>100.27847343145206</v>
      </c>
      <c r="BL306">
        <f t="shared" si="303"/>
        <v>0.80261348091472096</v>
      </c>
      <c r="BM306" s="43">
        <f t="shared" si="304"/>
        <v>91.472477423643028</v>
      </c>
    </row>
    <row r="307" spans="14:65" x14ac:dyDescent="0.25">
      <c r="N307" s="9">
        <v>89</v>
      </c>
      <c r="O307" s="34">
        <f t="shared" si="305"/>
        <v>7762.4711662869322</v>
      </c>
      <c r="P307" s="33" t="str">
        <f t="shared" si="257"/>
        <v>54,631621870174</v>
      </c>
      <c r="Q307" s="4" t="str">
        <f t="shared" si="258"/>
        <v>1+217,718002292168i</v>
      </c>
      <c r="R307" s="4">
        <f t="shared" si="270"/>
        <v>217.72029882877817</v>
      </c>
      <c r="S307" s="4">
        <f t="shared" si="271"/>
        <v>1.5662032616492516</v>
      </c>
      <c r="T307" s="4" t="str">
        <f t="shared" si="259"/>
        <v>1+0,737448437064819i</v>
      </c>
      <c r="U307" s="4">
        <f t="shared" si="272"/>
        <v>1.2425096367148805</v>
      </c>
      <c r="V307" s="4">
        <f t="shared" si="273"/>
        <v>0.63541959429010231</v>
      </c>
      <c r="W307" t="str">
        <f t="shared" si="260"/>
        <v>1-0,194084471580912i</v>
      </c>
      <c r="X307" s="4">
        <f t="shared" si="274"/>
        <v>1.0186602878824922</v>
      </c>
      <c r="Y307" s="4">
        <f t="shared" si="275"/>
        <v>-0.19170113524876845</v>
      </c>
      <c r="Z307" t="str">
        <f t="shared" si="261"/>
        <v>0,99975897616557+0,0266656366317385i</v>
      </c>
      <c r="AA307" s="4">
        <f t="shared" si="276"/>
        <v>1.000114526742115</v>
      </c>
      <c r="AB307" s="4">
        <f t="shared" si="277"/>
        <v>2.6665743106074755E-2</v>
      </c>
      <c r="AC307" s="47" t="str">
        <f t="shared" si="278"/>
        <v>0,129965081750078-0,289746210905615i</v>
      </c>
      <c r="AD307" s="20">
        <f t="shared" si="279"/>
        <v>-9.9635084406054943</v>
      </c>
      <c r="AE307" s="43">
        <f t="shared" si="280"/>
        <v>-65.841476294567059</v>
      </c>
      <c r="AF307" t="str">
        <f t="shared" si="262"/>
        <v>171,265703090588</v>
      </c>
      <c r="AG307" t="str">
        <f t="shared" si="263"/>
        <v>1+215,634437214008i</v>
      </c>
      <c r="AH307">
        <f t="shared" si="281"/>
        <v>215.63675594063727</v>
      </c>
      <c r="AI307">
        <f t="shared" si="282"/>
        <v>1.5661588818474304</v>
      </c>
      <c r="AJ307" t="str">
        <f t="shared" si="264"/>
        <v>1+0,737448437064819i</v>
      </c>
      <c r="AK307">
        <f t="shared" si="283"/>
        <v>1.2425096367148805</v>
      </c>
      <c r="AL307">
        <f t="shared" si="284"/>
        <v>0.63541959429010231</v>
      </c>
      <c r="AM307" t="str">
        <f t="shared" si="265"/>
        <v>1-0,061317989272008i</v>
      </c>
      <c r="AN307">
        <f t="shared" si="285"/>
        <v>1.0018781841163935</v>
      </c>
      <c r="AO307">
        <f t="shared" si="286"/>
        <v>-6.1241312425712825E-2</v>
      </c>
      <c r="AP307" s="41" t="str">
        <f t="shared" si="287"/>
        <v>0,540848695066003-0,827647456298058i</v>
      </c>
      <c r="AQ307">
        <f t="shared" si="288"/>
        <v>-9.8754043190555849E-2</v>
      </c>
      <c r="AR307" s="43">
        <f t="shared" si="289"/>
        <v>-56.836301737883439</v>
      </c>
      <c r="AS307" t="str">
        <f t="shared" si="266"/>
        <v>-0,0000166666666666667</v>
      </c>
      <c r="AT307" t="str">
        <f t="shared" si="267"/>
        <v>0,0000747690776468497i</v>
      </c>
      <c r="AU307">
        <f t="shared" si="290"/>
        <v>7.4769077646849699E-5</v>
      </c>
      <c r="AV307">
        <f t="shared" si="291"/>
        <v>1.5707963267948966</v>
      </c>
      <c r="AW307" t="str">
        <f t="shared" si="268"/>
        <v>1+0,346469965849886i</v>
      </c>
      <c r="AX307">
        <f t="shared" si="292"/>
        <v>1.0583201014986068</v>
      </c>
      <c r="AY307">
        <f t="shared" si="293"/>
        <v>0.33352656799278141</v>
      </c>
      <c r="AZ307" t="str">
        <f t="shared" si="269"/>
        <v>1+16,0951047772083i</v>
      </c>
      <c r="BA307">
        <f t="shared" si="294"/>
        <v>16.126140201217197</v>
      </c>
      <c r="BB307">
        <f t="shared" si="295"/>
        <v>1.5087453960972221</v>
      </c>
      <c r="BC307" s="41" t="str">
        <f t="shared" si="296"/>
        <v>-3,13426381391907+1,30883682635333i</v>
      </c>
      <c r="BD307">
        <f t="shared" si="297"/>
        <v>10.620802251125163</v>
      </c>
      <c r="BE307" s="43">
        <f t="shared" si="298"/>
        <v>157.33507885469504</v>
      </c>
      <c r="BF307" s="41" t="str">
        <f t="shared" si="299"/>
        <v>-0,0281143416726955+1,07824414919616i</v>
      </c>
      <c r="BG307" s="20">
        <f t="shared" si="300"/>
        <v>0.65729381051970681</v>
      </c>
      <c r="BH307" s="43">
        <f t="shared" si="301"/>
        <v>91.493602560127968</v>
      </c>
      <c r="BI307" s="41" t="str">
        <f t="shared" si="306"/>
        <v>-0,611907023710166+3,3019481625447i</v>
      </c>
      <c r="BJ307" s="20">
        <f t="shared" si="302"/>
        <v>10.52204820793462</v>
      </c>
      <c r="BK307" s="43">
        <f t="shared" si="307"/>
        <v>100.4987771168116</v>
      </c>
      <c r="BL307">
        <f t="shared" si="303"/>
        <v>0.65729381051970681</v>
      </c>
      <c r="BM307" s="43">
        <f t="shared" si="304"/>
        <v>91.493602560127968</v>
      </c>
    </row>
    <row r="308" spans="14:65" x14ac:dyDescent="0.25">
      <c r="N308" s="9">
        <v>90</v>
      </c>
      <c r="O308" s="34">
        <f t="shared" si="305"/>
        <v>7943.2823472428154</v>
      </c>
      <c r="P308" s="33" t="str">
        <f t="shared" si="257"/>
        <v>54,631621870174</v>
      </c>
      <c r="Q308" s="4" t="str">
        <f t="shared" si="258"/>
        <v>1+222,78930603894i</v>
      </c>
      <c r="R308" s="4">
        <f t="shared" si="270"/>
        <v>222.79155030052746</v>
      </c>
      <c r="S308" s="4">
        <f t="shared" si="271"/>
        <v>1.5663078111557065</v>
      </c>
      <c r="T308" s="4" t="str">
        <f t="shared" si="259"/>
        <v>1+0,754625817816822i</v>
      </c>
      <c r="U308" s="4">
        <f t="shared" si="272"/>
        <v>1.2527809564787085</v>
      </c>
      <c r="V308" s="4">
        <f t="shared" si="273"/>
        <v>0.64645506464344382</v>
      </c>
      <c r="W308" t="str">
        <f t="shared" si="260"/>
        <v>1-0,19860527967926i</v>
      </c>
      <c r="X308" s="4">
        <f t="shared" si="274"/>
        <v>1.0195312928578883</v>
      </c>
      <c r="Y308" s="4">
        <f t="shared" si="275"/>
        <v>-0.19605412362888638</v>
      </c>
      <c r="Z308" t="str">
        <f t="shared" si="261"/>
        <v>0,999747617062208+0,027286759099963i</v>
      </c>
      <c r="AA308" s="4">
        <f t="shared" si="276"/>
        <v>1.0001199253308291</v>
      </c>
      <c r="AB308" s="4">
        <f t="shared" si="277"/>
        <v>2.7286873172888571E-2</v>
      </c>
      <c r="AC308" s="47" t="str">
        <f t="shared" si="278"/>
        <v>0,129865269818074-0,284965655018832i</v>
      </c>
      <c r="AD308" s="20">
        <f t="shared" si="279"/>
        <v>-10.084619964545393</v>
      </c>
      <c r="AE308" s="43">
        <f t="shared" si="280"/>
        <v>-65.500176657656283</v>
      </c>
      <c r="AF308" t="str">
        <f t="shared" si="262"/>
        <v>171,265703090588</v>
      </c>
      <c r="AG308" t="str">
        <f t="shared" si="263"/>
        <v>1+220,657208495499i</v>
      </c>
      <c r="AH308">
        <f t="shared" si="281"/>
        <v>220.65947444201467</v>
      </c>
      <c r="AI308">
        <f t="shared" si="282"/>
        <v>1.5662644415199303</v>
      </c>
      <c r="AJ308" t="str">
        <f t="shared" si="264"/>
        <v>1+0,754625817816822i</v>
      </c>
      <c r="AK308">
        <f t="shared" si="283"/>
        <v>1.2527809564787085</v>
      </c>
      <c r="AL308">
        <f t="shared" si="284"/>
        <v>0.64645506464344382</v>
      </c>
      <c r="AM308" t="str">
        <f t="shared" si="265"/>
        <v>1-0,0627462687227921i</v>
      </c>
      <c r="AN308">
        <f t="shared" si="285"/>
        <v>1.0019666133353111</v>
      </c>
      <c r="AO308">
        <f t="shared" si="286"/>
        <v>-6.2664116708752146E-2</v>
      </c>
      <c r="AP308" s="41" t="str">
        <f t="shared" si="287"/>
        <v>0,540683447278975-0,810462726713947i</v>
      </c>
      <c r="AQ308">
        <f t="shared" si="288"/>
        <v>-0.22647568058828738</v>
      </c>
      <c r="AR308" s="43">
        <f t="shared" si="289"/>
        <v>-56.2915846659075</v>
      </c>
      <c r="AS308" t="str">
        <f t="shared" si="266"/>
        <v>-0,0000166666666666667</v>
      </c>
      <c r="AT308" t="str">
        <f t="shared" si="267"/>
        <v>0,0000765106731953167i</v>
      </c>
      <c r="AU308">
        <f t="shared" si="290"/>
        <v>7.6510673195316696E-5</v>
      </c>
      <c r="AV308">
        <f t="shared" si="291"/>
        <v>1.5707963267948966</v>
      </c>
      <c r="AW308" t="str">
        <f t="shared" si="268"/>
        <v>1+0,35454028808994i</v>
      </c>
      <c r="AX308">
        <f t="shared" si="292"/>
        <v>1.0609895456030176</v>
      </c>
      <c r="AY308">
        <f t="shared" si="293"/>
        <v>0.34071387945452669</v>
      </c>
      <c r="AZ308" t="str">
        <f t="shared" si="269"/>
        <v>1+16,4700079285418i</v>
      </c>
      <c r="BA308">
        <f t="shared" si="294"/>
        <v>16.50033821369216</v>
      </c>
      <c r="BB308">
        <f t="shared" si="295"/>
        <v>1.5101543473165335</v>
      </c>
      <c r="BC308" s="41" t="str">
        <f t="shared" si="296"/>
        <v>-3,11851207205717+1,32347270015365i</v>
      </c>
      <c r="BD308">
        <f t="shared" si="297"/>
        <v>10.598169359600462</v>
      </c>
      <c r="BE308" s="43">
        <f t="shared" si="298"/>
        <v>157.00400320029746</v>
      </c>
      <c r="BF308" s="41" t="str">
        <f t="shared" si="299"/>
        <v>-0,0278421467697983+1,06054197460022i</v>
      </c>
      <c r="BG308" s="20">
        <f t="shared" si="300"/>
        <v>0.51354939505510888</v>
      </c>
      <c r="BH308" s="43">
        <f t="shared" si="301"/>
        <v>91.50382654264115</v>
      </c>
      <c r="BI308" s="41" t="str">
        <f t="shared" si="306"/>
        <v>-0,613502564202973+3,2430175791085i</v>
      </c>
      <c r="BJ308" s="20">
        <f t="shared" si="302"/>
        <v>10.371693679012166</v>
      </c>
      <c r="BK308" s="43">
        <f t="shared" si="307"/>
        <v>100.71241853438995</v>
      </c>
      <c r="BL308">
        <f t="shared" si="303"/>
        <v>0.51354939505510888</v>
      </c>
      <c r="BM308" s="43">
        <f t="shared" si="304"/>
        <v>91.50382654264115</v>
      </c>
    </row>
    <row r="309" spans="14:65" x14ac:dyDescent="0.25">
      <c r="N309" s="9">
        <v>91</v>
      </c>
      <c r="O309" s="34">
        <f t="shared" si="305"/>
        <v>8128.3051616410066</v>
      </c>
      <c r="P309" s="33" t="str">
        <f t="shared" si="257"/>
        <v>54,631621870174</v>
      </c>
      <c r="Q309" s="4" t="str">
        <f t="shared" si="258"/>
        <v>1+227,97873562474i</v>
      </c>
      <c r="R309" s="4">
        <f t="shared" si="270"/>
        <v>227.98092880119401</v>
      </c>
      <c r="S309" s="4">
        <f t="shared" si="271"/>
        <v>1.5664099809196637</v>
      </c>
      <c r="T309" s="4" t="str">
        <f t="shared" si="259"/>
        <v>1+0,77220331116609i</v>
      </c>
      <c r="U309" s="4">
        <f t="shared" si="272"/>
        <v>1.2634468543535471</v>
      </c>
      <c r="V309" s="4">
        <f t="shared" si="273"/>
        <v>0.65756045292896548</v>
      </c>
      <c r="W309" t="str">
        <f t="shared" si="260"/>
        <v>1-0,203231390925746i</v>
      </c>
      <c r="X309" s="4">
        <f t="shared" si="274"/>
        <v>1.0204425501994776</v>
      </c>
      <c r="Y309" s="4">
        <f t="shared" si="275"/>
        <v>-0.20050072690589238</v>
      </c>
      <c r="Z309" t="str">
        <f t="shared" si="261"/>
        <v>0,999735722620797+0,0279223493690453i</v>
      </c>
      <c r="AA309" s="4">
        <f t="shared" si="276"/>
        <v>1.0001255784542331</v>
      </c>
      <c r="AB309" s="4">
        <f t="shared" si="277"/>
        <v>2.7922471582007502E-2</v>
      </c>
      <c r="AC309" s="47" t="str">
        <f t="shared" si="278"/>
        <v>0,129765522672482-0,280336090316466i</v>
      </c>
      <c r="AD309" s="20">
        <f t="shared" si="279"/>
        <v>-10.203268431580266</v>
      </c>
      <c r="AE309" s="43">
        <f t="shared" si="280"/>
        <v>-65.160927382559706</v>
      </c>
      <c r="AF309" t="str">
        <f t="shared" si="262"/>
        <v>171,265703090588</v>
      </c>
      <c r="AG309" t="str">
        <f t="shared" si="263"/>
        <v>1+225,796975149678i</v>
      </c>
      <c r="AH309">
        <f t="shared" si="281"/>
        <v>225.79918951746549</v>
      </c>
      <c r="AI309">
        <f t="shared" si="282"/>
        <v>1.5663675984585212</v>
      </c>
      <c r="AJ309" t="str">
        <f t="shared" si="264"/>
        <v>1+0,77220331116609i</v>
      </c>
      <c r="AK309">
        <f t="shared" si="283"/>
        <v>1.2634468543535471</v>
      </c>
      <c r="AL309">
        <f t="shared" si="284"/>
        <v>0.65756045292896548</v>
      </c>
      <c r="AM309" t="str">
        <f t="shared" si="265"/>
        <v>1-0,0642078170757985i</v>
      </c>
      <c r="AN309">
        <f t="shared" si="285"/>
        <v>1.0020592017309353</v>
      </c>
      <c r="AO309">
        <f t="shared" si="286"/>
        <v>-6.4119799373716951E-2</v>
      </c>
      <c r="AP309" s="41" t="str">
        <f t="shared" si="287"/>
        <v>0,54052563656889-0,793707647767613i</v>
      </c>
      <c r="AQ309">
        <f t="shared" si="288"/>
        <v>-0.35203236079862804</v>
      </c>
      <c r="AR309" s="43">
        <f t="shared" si="289"/>
        <v>-55.744607717514789</v>
      </c>
      <c r="AS309" t="str">
        <f t="shared" si="266"/>
        <v>-0,0000166666666666667</v>
      </c>
      <c r="AT309" t="str">
        <f t="shared" si="267"/>
        <v>0,0000782928357154507i</v>
      </c>
      <c r="AU309">
        <f t="shared" si="290"/>
        <v>7.8292835715450701E-5</v>
      </c>
      <c r="AV309">
        <f t="shared" si="291"/>
        <v>1.5707963267948966</v>
      </c>
      <c r="AW309" t="str">
        <f t="shared" si="268"/>
        <v>1+0,362798592283636i</v>
      </c>
      <c r="AX309">
        <f t="shared" si="292"/>
        <v>1.063777617062414</v>
      </c>
      <c r="AY309">
        <f t="shared" si="293"/>
        <v>0.34803087513324754</v>
      </c>
      <c r="AZ309" t="str">
        <f t="shared" si="269"/>
        <v>1+16,8536436960853i</v>
      </c>
      <c r="BA309">
        <f t="shared" si="294"/>
        <v>16.883284805824832</v>
      </c>
      <c r="BB309">
        <f t="shared" si="295"/>
        <v>1.5115314598640683</v>
      </c>
      <c r="BC309" s="41" t="str">
        <f t="shared" si="296"/>
        <v>-3,10218677922797+1,33834500890575i</v>
      </c>
      <c r="BD309">
        <f t="shared" si="297"/>
        <v>10.574656499984272</v>
      </c>
      <c r="BE309" s="43">
        <f t="shared" si="298"/>
        <v>156.66367296607945</v>
      </c>
      <c r="BF309" s="41" t="str">
        <f t="shared" si="299"/>
        <v>-0,0273704815429872+1,04332595271696i</v>
      </c>
      <c r="BG309" s="20">
        <f t="shared" si="300"/>
        <v>0.37138806840399546</v>
      </c>
      <c r="BH309" s="43">
        <f t="shared" si="301"/>
        <v>91.502745583519754</v>
      </c>
      <c r="BI309" s="41" t="str">
        <f t="shared" si="306"/>
        <v>-0,614556814677685+3,1856391593644i</v>
      </c>
      <c r="BJ309" s="20">
        <f t="shared" si="302"/>
        <v>10.222624139185655</v>
      </c>
      <c r="BK309" s="43">
        <f t="shared" si="307"/>
        <v>100.91906524856466</v>
      </c>
      <c r="BL309">
        <f t="shared" si="303"/>
        <v>0.37138806840399546</v>
      </c>
      <c r="BM309" s="43">
        <f t="shared" si="304"/>
        <v>91.502745583519754</v>
      </c>
    </row>
    <row r="310" spans="14:65" x14ac:dyDescent="0.25">
      <c r="N310" s="9">
        <v>92</v>
      </c>
      <c r="O310" s="34">
        <f t="shared" si="305"/>
        <v>8317.6377110267094</v>
      </c>
      <c r="P310" s="33" t="str">
        <f t="shared" si="257"/>
        <v>54,631621870174</v>
      </c>
      <c r="Q310" s="4" t="str">
        <f t="shared" si="258"/>
        <v>1+233,289042553823i</v>
      </c>
      <c r="R310" s="4">
        <f t="shared" si="270"/>
        <v>233.29118580794997</v>
      </c>
      <c r="S310" s="4">
        <f t="shared" si="271"/>
        <v>1.5665098251043474</v>
      </c>
      <c r="T310" s="4" t="str">
        <f t="shared" si="259"/>
        <v>1+0,790190236932253i</v>
      </c>
      <c r="U310" s="4">
        <f t="shared" si="272"/>
        <v>1.2745197568272726</v>
      </c>
      <c r="V310" s="4">
        <f t="shared" si="273"/>
        <v>0.66873069084470449</v>
      </c>
      <c r="W310" t="str">
        <f t="shared" si="260"/>
        <v>1-0,207965258145786i</v>
      </c>
      <c r="X310" s="4">
        <f t="shared" si="274"/>
        <v>1.0213958824058591</v>
      </c>
      <c r="Y310" s="4">
        <f t="shared" si="275"/>
        <v>-0.20504259903730859</v>
      </c>
      <c r="Z310" t="str">
        <f t="shared" si="261"/>
        <v>0,999723267611632+0,0285727444373589i</v>
      </c>
      <c r="AA310" s="4">
        <f t="shared" si="276"/>
        <v>1.0001314981185032</v>
      </c>
      <c r="AB310" s="4">
        <f t="shared" si="277"/>
        <v>2.8572875370285158E-2</v>
      </c>
      <c r="AC310" s="47" t="str">
        <f t="shared" si="278"/>
        <v>0,12966562890097-0,275855057784308i</v>
      </c>
      <c r="AD310" s="20">
        <f t="shared" si="279"/>
        <v>-10.319413344732071</v>
      </c>
      <c r="AE310" s="43">
        <f t="shared" si="280"/>
        <v>-64.824136040488156</v>
      </c>
      <c r="AF310" t="str">
        <f t="shared" si="262"/>
        <v>171,265703090588</v>
      </c>
      <c r="AG310" t="str">
        <f t="shared" si="263"/>
        <v>1+231,056462348856i</v>
      </c>
      <c r="AH310">
        <f t="shared" si="281"/>
        <v>231.05862631195643</v>
      </c>
      <c r="AI310">
        <f t="shared" si="282"/>
        <v>1.5664684073495903</v>
      </c>
      <c r="AJ310" t="str">
        <f t="shared" si="264"/>
        <v>1+0,790190236932253i</v>
      </c>
      <c r="AK310">
        <f t="shared" si="283"/>
        <v>1.2745197568272726</v>
      </c>
      <c r="AL310">
        <f t="shared" si="284"/>
        <v>0.66873069084470449</v>
      </c>
      <c r="AM310" t="str">
        <f t="shared" si="265"/>
        <v>1-0,065703409263309i</v>
      </c>
      <c r="AN310">
        <f t="shared" si="285"/>
        <v>1.0021561445148266</v>
      </c>
      <c r="AO310">
        <f t="shared" si="286"/>
        <v>-6.5609107552035834E-2</v>
      </c>
      <c r="AP310" s="41" t="str">
        <f t="shared" si="287"/>
        <v>0,540374928238418-0,777373340194745i</v>
      </c>
      <c r="AQ310">
        <f t="shared" si="288"/>
        <v>-0.47539639263522671</v>
      </c>
      <c r="AR310" s="43">
        <f t="shared" si="289"/>
        <v>-55.195707225793541</v>
      </c>
      <c r="AS310" t="str">
        <f t="shared" si="266"/>
        <v>-0,0000166666666666667</v>
      </c>
      <c r="AT310" t="str">
        <f t="shared" si="267"/>
        <v>0,0000801165101334089i</v>
      </c>
      <c r="AU310">
        <f t="shared" si="290"/>
        <v>8.0116510133408894E-5</v>
      </c>
      <c r="AV310">
        <f t="shared" si="291"/>
        <v>1.5707963267948966</v>
      </c>
      <c r="AW310" t="str">
        <f t="shared" si="268"/>
        <v>1+0,371249257093167i</v>
      </c>
      <c r="AX310">
        <f t="shared" si="292"/>
        <v>1.0666892756994553</v>
      </c>
      <c r="AY310">
        <f t="shared" si="293"/>
        <v>0.35547829971247635</v>
      </c>
      <c r="AZ310" t="str">
        <f t="shared" si="269"/>
        <v>1+17,2462154886008i</v>
      </c>
      <c r="BA310">
        <f t="shared" si="294"/>
        <v>17.275183028820681</v>
      </c>
      <c r="BB310">
        <f t="shared" si="295"/>
        <v>1.512877442998444</v>
      </c>
      <c r="BC310" s="41" t="str">
        <f t="shared" si="296"/>
        <v>-3,08527429783929+1,35343615376832i</v>
      </c>
      <c r="BD310">
        <f t="shared" si="297"/>
        <v>10.550229099719006</v>
      </c>
      <c r="BE310" s="43">
        <f t="shared" si="298"/>
        <v>156.31408612234324</v>
      </c>
      <c r="BF310" s="41" t="str">
        <f t="shared" si="299"/>
        <v>-0,0267018237561987+1,02658266976658i</v>
      </c>
      <c r="BG310" s="20">
        <f t="shared" si="300"/>
        <v>0.23081575498696305</v>
      </c>
      <c r="BH310" s="43">
        <f t="shared" si="301"/>
        <v>91.489950081855071</v>
      </c>
      <c r="BI310" s="41" t="str">
        <f t="shared" si="306"/>
        <v>-0,615079693695535+3,12977295079616i</v>
      </c>
      <c r="BJ310" s="20">
        <f t="shared" si="302"/>
        <v>10.074832707083774</v>
      </c>
      <c r="BK310" s="43">
        <f t="shared" si="307"/>
        <v>101.11837889654971</v>
      </c>
      <c r="BL310">
        <f t="shared" si="303"/>
        <v>0.23081575498696305</v>
      </c>
      <c r="BM310" s="43">
        <f t="shared" si="304"/>
        <v>91.489950081855071</v>
      </c>
    </row>
    <row r="311" spans="14:65" x14ac:dyDescent="0.25">
      <c r="N311" s="9">
        <v>93</v>
      </c>
      <c r="O311" s="34">
        <f t="shared" si="305"/>
        <v>8511.3803820237772</v>
      </c>
      <c r="P311" s="33" t="str">
        <f t="shared" si="257"/>
        <v>54,631621870174</v>
      </c>
      <c r="Q311" s="4" t="str">
        <f t="shared" si="258"/>
        <v>1+238,723042421214i</v>
      </c>
      <c r="R311" s="4">
        <f t="shared" si="270"/>
        <v>238.72513688935388</v>
      </c>
      <c r="S311" s="4">
        <f t="shared" si="271"/>
        <v>1.5666073966404985</v>
      </c>
      <c r="T311" s="4" t="str">
        <f t="shared" si="259"/>
        <v>1+0,808596132021444i</v>
      </c>
      <c r="U311" s="4">
        <f t="shared" si="272"/>
        <v>1.286012326814965</v>
      </c>
      <c r="V311" s="4">
        <f t="shared" si="273"/>
        <v>0.67996055148926227</v>
      </c>
      <c r="W311" t="str">
        <f t="shared" si="260"/>
        <v>1-0,212809391298441i</v>
      </c>
      <c r="X311" s="4">
        <f t="shared" si="274"/>
        <v>1.0223931910105881</v>
      </c>
      <c r="Y311" s="4">
        <f t="shared" si="275"/>
        <v>-0.20968139829082302</v>
      </c>
      <c r="Z311" t="str">
        <f t="shared" si="261"/>
        <v>0,99971022561597+0,0292382891529783i</v>
      </c>
      <c r="AA311" s="4">
        <f t="shared" si="276"/>
        <v>1.0001376968966458</v>
      </c>
      <c r="AB311" s="4">
        <f t="shared" si="277"/>
        <v>2.9238429426998464E-2</v>
      </c>
      <c r="AC311" s="47" t="str">
        <f t="shared" si="278"/>
        <v>0,129565376793805-0,271520176657376i</v>
      </c>
      <c r="AD311" s="20">
        <f t="shared" si="279"/>
        <v>-10.433015484366523</v>
      </c>
      <c r="AE311" s="43">
        <f t="shared" si="280"/>
        <v>-64.490219915979083</v>
      </c>
      <c r="AF311" t="str">
        <f t="shared" si="262"/>
        <v>171,265703090588</v>
      </c>
      <c r="AG311" t="str">
        <f t="shared" si="263"/>
        <v>1+236,438458742767i</v>
      </c>
      <c r="AH311">
        <f t="shared" si="281"/>
        <v>236.44057344849918</v>
      </c>
      <c r="AI311">
        <f t="shared" si="282"/>
        <v>1.5665669216351457</v>
      </c>
      <c r="AJ311" t="str">
        <f t="shared" si="264"/>
        <v>1+0,808596132021444i</v>
      </c>
      <c r="AK311">
        <f t="shared" si="283"/>
        <v>1.286012326814965</v>
      </c>
      <c r="AL311">
        <f t="shared" si="284"/>
        <v>0.67996055148926227</v>
      </c>
      <c r="AM311" t="str">
        <f t="shared" si="265"/>
        <v>1-0,0672338382680986i</v>
      </c>
      <c r="AN311">
        <f t="shared" si="285"/>
        <v>1.0022576460213515</v>
      </c>
      <c r="AO311">
        <f t="shared" si="286"/>
        <v>-6.713280445298285E-2</v>
      </c>
      <c r="AP311" s="41" t="str">
        <f t="shared" si="287"/>
        <v>0,540231002651783-0,761451147529229i</v>
      </c>
      <c r="AQ311">
        <f t="shared" si="288"/>
        <v>-0.59654185340773802</v>
      </c>
      <c r="AR311" s="43">
        <f t="shared" si="289"/>
        <v>-54.645229460805723</v>
      </c>
      <c r="AS311" t="str">
        <f t="shared" si="266"/>
        <v>-0,0000166666666666667</v>
      </c>
      <c r="AT311" t="str">
        <f t="shared" si="267"/>
        <v>0,0000819826633855075i</v>
      </c>
      <c r="AU311">
        <f t="shared" si="290"/>
        <v>8.1982663385507499E-5</v>
      </c>
      <c r="AV311">
        <f t="shared" si="291"/>
        <v>1.5707963267948966</v>
      </c>
      <c r="AW311" t="str">
        <f t="shared" si="268"/>
        <v>1+0,379896763172874i</v>
      </c>
      <c r="AX311">
        <f t="shared" si="292"/>
        <v>1.0697296624237485</v>
      </c>
      <c r="AY311">
        <f t="shared" si="293"/>
        <v>0.36305679641426242</v>
      </c>
      <c r="AZ311" t="str">
        <f t="shared" si="269"/>
        <v>1+17,647931452849i</v>
      </c>
      <c r="BA311">
        <f t="shared" si="294"/>
        <v>17.676240679637086</v>
      </c>
      <c r="BB311">
        <f t="shared" si="295"/>
        <v>1.5141929908588792</v>
      </c>
      <c r="BC311" s="41" t="str">
        <f t="shared" si="296"/>
        <v>-3,06776128157839+1,3687275946434i</v>
      </c>
      <c r="BD311">
        <f t="shared" si="297"/>
        <v>10.524851884170479</v>
      </c>
      <c r="BE311" s="43">
        <f t="shared" si="298"/>
        <v>155.9552455864274</v>
      </c>
      <c r="BF311" s="41" t="str">
        <f t="shared" si="299"/>
        <v>-0,0258384880677489+1,01029879164487i</v>
      </c>
      <c r="BG311" s="20">
        <f t="shared" si="300"/>
        <v>9.1836399803930241E-2</v>
      </c>
      <c r="BH311" s="43">
        <f t="shared" si="301"/>
        <v>91.465025670448327</v>
      </c>
      <c r="BI311" s="41" t="str">
        <f t="shared" si="306"/>
        <v>-0,615080555447274+3,07537942901497i</v>
      </c>
      <c r="BJ311" s="20">
        <f t="shared" si="302"/>
        <v>9.9283100307627397</v>
      </c>
      <c r="BK311" s="43">
        <f t="shared" si="307"/>
        <v>101.31001612562167</v>
      </c>
      <c r="BL311">
        <f t="shared" si="303"/>
        <v>9.1836399803930241E-2</v>
      </c>
      <c r="BM311" s="43">
        <f t="shared" si="304"/>
        <v>91.465025670448327</v>
      </c>
    </row>
    <row r="312" spans="14:65" x14ac:dyDescent="0.25">
      <c r="N312" s="9">
        <v>94</v>
      </c>
      <c r="O312" s="34">
        <f t="shared" si="305"/>
        <v>8709.6358995608189</v>
      </c>
      <c r="P312" s="33" t="str">
        <f t="shared" si="257"/>
        <v>54,631621870174</v>
      </c>
      <c r="Q312" s="4" t="str">
        <f t="shared" si="258"/>
        <v>1+244,283616405569i</v>
      </c>
      <c r="R312" s="4">
        <f t="shared" si="270"/>
        <v>244.28566319819748</v>
      </c>
      <c r="S312" s="4">
        <f t="shared" si="271"/>
        <v>1.5667027472544017</v>
      </c>
      <c r="T312" s="4" t="str">
        <f t="shared" si="259"/>
        <v>1+0,827430755482867i</v>
      </c>
      <c r="U312" s="4">
        <f t="shared" si="272"/>
        <v>1.2979374619445068</v>
      </c>
      <c r="V312" s="4">
        <f t="shared" si="273"/>
        <v>0.69124466015868935</v>
      </c>
      <c r="W312" t="str">
        <f t="shared" si="260"/>
        <v>1-0,217766358807228i</v>
      </c>
      <c r="X312" s="4">
        <f t="shared" si="274"/>
        <v>1.0234364596926173</v>
      </c>
      <c r="Y312" s="4">
        <f t="shared" si="275"/>
        <v>-0.2144187852879427</v>
      </c>
      <c r="Z312" t="str">
        <f t="shared" si="261"/>
        <v>0,999696568969988+0,0299193363965211i</v>
      </c>
      <c r="AA312" s="4">
        <f t="shared" si="276"/>
        <v>1.0001441879553039</v>
      </c>
      <c r="AB312" s="4">
        <f t="shared" si="277"/>
        <v>2.9919486676880918E-2</v>
      </c>
      <c r="AC312" s="47" t="str">
        <f t="shared" si="278"/>
        <v>0,129464553896295-0,267329143134436i</v>
      </c>
      <c r="AD312" s="20">
        <f t="shared" si="279"/>
        <v>-10.544036984611427</v>
      </c>
      <c r="AE312" s="43">
        <f t="shared" si="280"/>
        <v>-64.159605288284851</v>
      </c>
      <c r="AF312" t="str">
        <f t="shared" si="262"/>
        <v>171,265703090588</v>
      </c>
      <c r="AG312" t="str">
        <f t="shared" si="263"/>
        <v>1+241,945817937136i</v>
      </c>
      <c r="AH312">
        <f t="shared" si="281"/>
        <v>241.94788450670478</v>
      </c>
      <c r="AI312">
        <f t="shared" si="282"/>
        <v>1.5666631935411124</v>
      </c>
      <c r="AJ312" t="str">
        <f t="shared" si="264"/>
        <v>1+0,827430755482867i</v>
      </c>
      <c r="AK312">
        <f t="shared" si="283"/>
        <v>1.2979374619445068</v>
      </c>
      <c r="AL312">
        <f t="shared" si="284"/>
        <v>0.69124466015868935</v>
      </c>
      <c r="AM312" t="str">
        <f t="shared" si="265"/>
        <v>1-0,0687999155438828i</v>
      </c>
      <c r="AN312">
        <f t="shared" si="285"/>
        <v>1.0023639201302317</v>
      </c>
      <c r="AO312">
        <f t="shared" si="286"/>
        <v>-6.8691669644938683E-2</v>
      </c>
      <c r="AP312" s="41" t="str">
        <f t="shared" si="287"/>
        <v>0,540093554557074-0,745932631533421i</v>
      </c>
      <c r="AQ312">
        <f t="shared" si="288"/>
        <v>-0.71544467869594286</v>
      </c>
      <c r="AR312" s="43">
        <f t="shared" si="289"/>
        <v>-54.093530028707157</v>
      </c>
      <c r="AS312" t="str">
        <f t="shared" si="266"/>
        <v>-0,0000166666666666667</v>
      </c>
      <c r="AT312" t="str">
        <f t="shared" si="267"/>
        <v>0,0000838922849309018i</v>
      </c>
      <c r="AU312">
        <f t="shared" si="290"/>
        <v>8.3892284930901805E-5</v>
      </c>
      <c r="AV312">
        <f t="shared" si="291"/>
        <v>1.5707963267948966</v>
      </c>
      <c r="AW312" t="str">
        <f t="shared" si="268"/>
        <v>1+0,388745695544943i</v>
      </c>
      <c r="AX312">
        <f t="shared" si="292"/>
        <v>1.072904103731886</v>
      </c>
      <c r="AY312">
        <f t="shared" si="293"/>
        <v>0.37076690037443089</v>
      </c>
      <c r="AZ312" t="str">
        <f t="shared" si="269"/>
        <v>1+18,0590045839515i</v>
      </c>
      <c r="BA312">
        <f t="shared" si="294"/>
        <v>18.086670411194572</v>
      </c>
      <c r="BB312">
        <f t="shared" si="295"/>
        <v>1.5154787827417631</v>
      </c>
      <c r="BC312" s="41" t="str">
        <f t="shared" si="296"/>
        <v>-3,04963473815849+1,38419983155313i</v>
      </c>
      <c r="BD312">
        <f t="shared" si="297"/>
        <v>10.498488892064973</v>
      </c>
      <c r="BE312" s="43">
        <f t="shared" si="298"/>
        <v>155.58715961812408</v>
      </c>
      <c r="BF312" s="41" t="str">
        <f t="shared" si="299"/>
        <v>-0,0247826460264044+0,994461055120272i</v>
      </c>
      <c r="BG312" s="20">
        <f t="shared" si="300"/>
        <v>-4.5548092546455199E-2</v>
      </c>
      <c r="BH312" s="43">
        <f t="shared" si="301"/>
        <v>91.427554329839225</v>
      </c>
      <c r="BI312" s="41" t="str">
        <f t="shared" si="306"/>
        <v>-0,614568242914206+3,02241947269113i</v>
      </c>
      <c r="BJ312" s="20">
        <f t="shared" si="302"/>
        <v>9.7830442133690276</v>
      </c>
      <c r="BK312" s="43">
        <f t="shared" si="307"/>
        <v>101.49362958941691</v>
      </c>
      <c r="BL312">
        <f t="shared" si="303"/>
        <v>-4.5548092546455199E-2</v>
      </c>
      <c r="BM312" s="43">
        <f t="shared" si="304"/>
        <v>91.427554329839225</v>
      </c>
    </row>
    <row r="313" spans="14:65" x14ac:dyDescent="0.25">
      <c r="N313" s="9">
        <v>95</v>
      </c>
      <c r="O313" s="34">
        <f t="shared" si="305"/>
        <v>8912.5093813374679</v>
      </c>
      <c r="P313" s="33" t="str">
        <f t="shared" si="257"/>
        <v>54,631621870174</v>
      </c>
      <c r="Q313" s="4" t="str">
        <f t="shared" si="258"/>
        <v>1+249,973712796819i</v>
      </c>
      <c r="R313" s="4">
        <f t="shared" si="270"/>
        <v>249.97571299913628</v>
      </c>
      <c r="S313" s="4">
        <f t="shared" si="271"/>
        <v>1.5667959274952754</v>
      </c>
      <c r="T313" s="4" t="str">
        <f t="shared" si="259"/>
        <v>1+0,846704093683188i</v>
      </c>
      <c r="U313" s="4">
        <f t="shared" si="272"/>
        <v>1.3103082928303051</v>
      </c>
      <c r="V313" s="4">
        <f t="shared" si="273"/>
        <v>0.70257750600811608</v>
      </c>
      <c r="W313" t="str">
        <f t="shared" si="260"/>
        <v>1-0,222838788921933i</v>
      </c>
      <c r="X313" s="4">
        <f t="shared" si="274"/>
        <v>1.0245277574805838</v>
      </c>
      <c r="Y313" s="4">
        <f t="shared" si="275"/>
        <v>-0.21925642089765354</v>
      </c>
      <c r="Z313" t="str">
        <f t="shared" si="261"/>
        <v>0,99968226870611+0,0306162472682505i</v>
      </c>
      <c r="AA313" s="4">
        <f t="shared" si="276"/>
        <v>1.0001509850828454</v>
      </c>
      <c r="AB313" s="4">
        <f t="shared" si="277"/>
        <v>3.0616408267429254E-2</v>
      </c>
      <c r="AC313" s="47" t="str">
        <f t="shared" si="278"/>
        <v>0,129362946559793-0,263279729130779i</v>
      </c>
      <c r="AD313" s="20">
        <f t="shared" si="279"/>
        <v>-10.652441403719264</v>
      </c>
      <c r="AE313" s="43">
        <f t="shared" si="280"/>
        <v>-63.832726654825095</v>
      </c>
      <c r="AF313" t="str">
        <f t="shared" si="262"/>
        <v>171,265703090588</v>
      </c>
      <c r="AG313" t="str">
        <f t="shared" si="263"/>
        <v>1+247,581460006706i</v>
      </c>
      <c r="AH313">
        <f t="shared" si="281"/>
        <v>247.5834795357965</v>
      </c>
      <c r="AI313">
        <f t="shared" si="282"/>
        <v>1.5667572741049869</v>
      </c>
      <c r="AJ313" t="str">
        <f t="shared" si="264"/>
        <v>1+0,846704093683188i</v>
      </c>
      <c r="AK313">
        <f t="shared" si="283"/>
        <v>1.3103082928303051</v>
      </c>
      <c r="AL313">
        <f t="shared" si="284"/>
        <v>0.70257750600811608</v>
      </c>
      <c r="AM313" t="str">
        <f t="shared" si="265"/>
        <v>1-0,070402471445563i</v>
      </c>
      <c r="AN313">
        <f t="shared" si="285"/>
        <v>1.0024751907083005</v>
      </c>
      <c r="AO313">
        <f t="shared" si="286"/>
        <v>-7.028649933672447E-2</v>
      </c>
      <c r="AP313" s="41" t="str">
        <f t="shared" si="287"/>
        <v>0,539962292439074-0,730809567742791i</v>
      </c>
      <c r="AQ313">
        <f t="shared" si="288"/>
        <v>-0.83208274589540399</v>
      </c>
      <c r="AR313" s="43">
        <f t="shared" si="289"/>
        <v>-53.540973221288318</v>
      </c>
      <c r="AS313" t="str">
        <f t="shared" si="266"/>
        <v>-0,0000166666666666667</v>
      </c>
      <c r="AT313" t="str">
        <f t="shared" si="267"/>
        <v>0,0000858463872762121i</v>
      </c>
      <c r="AU313">
        <f t="shared" si="290"/>
        <v>8.5846387276212094E-5</v>
      </c>
      <c r="AV313">
        <f t="shared" si="291"/>
        <v>1.5707963267948966</v>
      </c>
      <c r="AW313" t="str">
        <f t="shared" si="268"/>
        <v>1+0,397800746030448i</v>
      </c>
      <c r="AX313">
        <f t="shared" si="292"/>
        <v>1.0762181161560054</v>
      </c>
      <c r="AY313">
        <f t="shared" si="293"/>
        <v>0.37860903191573708</v>
      </c>
      <c r="AZ313" t="str">
        <f t="shared" si="269"/>
        <v>1+18,4796528383235i</v>
      </c>
      <c r="BA313">
        <f t="shared" si="294"/>
        <v>18.506689845160256</v>
      </c>
      <c r="BB313">
        <f t="shared" si="295"/>
        <v>1.5167354833753481</v>
      </c>
      <c r="BC313" s="41" t="str">
        <f t="shared" si="296"/>
        <v>-3,03088209558681+1,39983238950327i</v>
      </c>
      <c r="BD313">
        <f t="shared" si="297"/>
        <v>10.471103494726211</v>
      </c>
      <c r="BE313" s="43">
        <f t="shared" si="298"/>
        <v>155.20984222083678</v>
      </c>
      <c r="BF313" s="41" t="str">
        <f t="shared" si="299"/>
        <v>-0,0235363462235179+0,979056259749402i</v>
      </c>
      <c r="BG313" s="20">
        <f t="shared" si="300"/>
        <v>-0.18133790899305441</v>
      </c>
      <c r="BH313" s="43">
        <f t="shared" si="301"/>
        <v>91.377115566011682</v>
      </c>
      <c r="BI313" s="41" t="str">
        <f t="shared" si="306"/>
        <v>-0,613551140960356+2,97085434022181i</v>
      </c>
      <c r="BJ313" s="20">
        <f t="shared" si="302"/>
        <v>9.6390207488307951</v>
      </c>
      <c r="BK313" s="43">
        <f t="shared" si="307"/>
        <v>101.66886899954848</v>
      </c>
      <c r="BL313">
        <f t="shared" si="303"/>
        <v>-0.18133790899305441</v>
      </c>
      <c r="BM313" s="43">
        <f t="shared" si="304"/>
        <v>91.377115566011682</v>
      </c>
    </row>
    <row r="314" spans="14:65" x14ac:dyDescent="0.25">
      <c r="N314" s="9">
        <v>96</v>
      </c>
      <c r="O314" s="34">
        <f t="shared" si="305"/>
        <v>9120.1083935591087</v>
      </c>
      <c r="P314" s="33" t="str">
        <f t="shared" si="257"/>
        <v>54,631621870174</v>
      </c>
      <c r="Q314" s="4" t="str">
        <f t="shared" si="258"/>
        <v>1+255,796348559387i</v>
      </c>
      <c r="R314" s="4">
        <f t="shared" si="270"/>
        <v>255.7983032318929</v>
      </c>
      <c r="S314" s="4">
        <f t="shared" si="271"/>
        <v>1.5668869867620405</v>
      </c>
      <c r="T314" s="4" t="str">
        <f t="shared" si="259"/>
        <v>1+0,866426365601433i</v>
      </c>
      <c r="U314" s="4">
        <f t="shared" si="272"/>
        <v>1.3231381813738534</v>
      </c>
      <c r="V314" s="4">
        <f t="shared" si="273"/>
        <v>0.71395345452480097</v>
      </c>
      <c r="W314" t="str">
        <f t="shared" si="260"/>
        <v>1-0,228029371112144i</v>
      </c>
      <c r="X314" s="4">
        <f t="shared" si="274"/>
        <v>1.0256692420511595</v>
      </c>
      <c r="Y314" s="4">
        <f t="shared" si="275"/>
        <v>-0.22419596397353567</v>
      </c>
      <c r="Z314" t="str">
        <f t="shared" si="261"/>
        <v>0,999667294491559+0,0313293912795355i</v>
      </c>
      <c r="AA314" s="4">
        <f t="shared" si="276"/>
        <v>1.0001581027187749</v>
      </c>
      <c r="AB314" s="4">
        <f t="shared" si="277"/>
        <v>3.1329563760582116E-2</v>
      </c>
      <c r="AC314" s="47" t="str">
        <f t="shared" si="278"/>
        <v>0,129260339490302-0,25936978106854i</v>
      </c>
      <c r="AD314" s="20">
        <f t="shared" si="279"/>
        <v>-10.7581937877261</v>
      </c>
      <c r="AE314" s="43">
        <f t="shared" si="280"/>
        <v>-63.510025899397419</v>
      </c>
      <c r="AF314" t="str">
        <f t="shared" si="262"/>
        <v>171,265703090588</v>
      </c>
      <c r="AG314" t="str">
        <f t="shared" si="263"/>
        <v>1+253,3483730435i</v>
      </c>
      <c r="AH314">
        <f t="shared" si="281"/>
        <v>253.35034660285834</v>
      </c>
      <c r="AI314">
        <f t="shared" si="282"/>
        <v>1.566849213202864</v>
      </c>
      <c r="AJ314" t="str">
        <f t="shared" si="264"/>
        <v>1+0,866426365601433i</v>
      </c>
      <c r="AK314">
        <f t="shared" si="283"/>
        <v>1.3231381813738534</v>
      </c>
      <c r="AL314">
        <f t="shared" si="284"/>
        <v>0.71395345452480097</v>
      </c>
      <c r="AM314" t="str">
        <f t="shared" si="265"/>
        <v>1-0,0720423556694905i</v>
      </c>
      <c r="AN314">
        <f t="shared" si="285"/>
        <v>1.0025916920713085</v>
      </c>
      <c r="AO314">
        <f t="shared" si="286"/>
        <v>-7.1918106658560757E-2</v>
      </c>
      <c r="AP314" s="41" t="str">
        <f t="shared" si="287"/>
        <v>0,539836937901136-0,716073941122636i</v>
      </c>
      <c r="AQ314">
        <f t="shared" si="288"/>
        <v>-0.94643595082256338</v>
      </c>
      <c r="AR314" s="43">
        <f t="shared" si="289"/>
        <v>-52.987931318968513</v>
      </c>
      <c r="AS314" t="str">
        <f t="shared" si="266"/>
        <v>-0,0000166666666666667</v>
      </c>
      <c r="AT314" t="str">
        <f t="shared" si="267"/>
        <v>0,0000878460065123675i</v>
      </c>
      <c r="AU314">
        <f t="shared" si="290"/>
        <v>8.7846006512367494E-5</v>
      </c>
      <c r="AV314">
        <f t="shared" si="291"/>
        <v>1.5707963267948966</v>
      </c>
      <c r="AW314" t="str">
        <f t="shared" si="268"/>
        <v>1+0,407066715737013i</v>
      </c>
      <c r="AX314">
        <f t="shared" si="292"/>
        <v>1.0796774106467719</v>
      </c>
      <c r="AY314">
        <f t="shared" si="293"/>
        <v>0.38658348974295614</v>
      </c>
      <c r="AZ314" t="str">
        <f t="shared" si="269"/>
        <v>1+18,9100992492376i</v>
      </c>
      <c r="BA314">
        <f t="shared" si="294"/>
        <v>18.936521687364245</v>
      </c>
      <c r="BB314">
        <f t="shared" si="295"/>
        <v>1.5179637431923256</v>
      </c>
      <c r="BC314" s="41" t="str">
        <f t="shared" si="296"/>
        <v>-3,01149127184329+1,41560380725843i</v>
      </c>
      <c r="BD314">
        <f t="shared" si="297"/>
        <v>10.442658419305316</v>
      </c>
      <c r="BE314" s="43">
        <f t="shared" si="298"/>
        <v>154.82331354709029</v>
      </c>
      <c r="BF314" s="41" t="str">
        <f t="shared" si="299"/>
        <v>-0,0221015346021343+0,964071260577802i</v>
      </c>
      <c r="BG314" s="20">
        <f t="shared" si="300"/>
        <v>-0.31553536842078406</v>
      </c>
      <c r="BH314" s="43">
        <f t="shared" si="301"/>
        <v>91.313287647692889</v>
      </c>
      <c r="BI314" s="41" t="str">
        <f t="shared" si="306"/>
        <v>-0,612037229376127+2,92064564827683i</v>
      </c>
      <c r="BJ314" s="20">
        <f t="shared" si="302"/>
        <v>9.496222468482765</v>
      </c>
      <c r="BK314" s="43">
        <f t="shared" si="307"/>
        <v>101.83538222812177</v>
      </c>
      <c r="BL314">
        <f t="shared" si="303"/>
        <v>-0.31553536842078406</v>
      </c>
      <c r="BM314" s="43">
        <f t="shared" si="304"/>
        <v>91.313287647692889</v>
      </c>
    </row>
    <row r="315" spans="14:65" x14ac:dyDescent="0.25">
      <c r="N315" s="9">
        <v>97</v>
      </c>
      <c r="O315" s="34">
        <f t="shared" si="305"/>
        <v>9332.5430079699217</v>
      </c>
      <c r="P315" s="33" t="str">
        <f t="shared" si="257"/>
        <v>54,631621870174</v>
      </c>
      <c r="Q315" s="4" t="str">
        <f t="shared" si="258"/>
        <v>1+261,754610931826i</v>
      </c>
      <c r="R315" s="4">
        <f t="shared" si="270"/>
        <v>261.75652111088198</v>
      </c>
      <c r="S315" s="4">
        <f t="shared" si="271"/>
        <v>1.5669759733294817</v>
      </c>
      <c r="T315" s="4" t="str">
        <f t="shared" si="259"/>
        <v>1+0,886608028247229i</v>
      </c>
      <c r="U315" s="4">
        <f t="shared" si="272"/>
        <v>1.3364407191313945</v>
      </c>
      <c r="V315" s="4">
        <f t="shared" si="273"/>
        <v>0.72536676075057771</v>
      </c>
      <c r="W315" t="str">
        <f t="shared" si="260"/>
        <v>1-0,233340857493244i</v>
      </c>
      <c r="X315" s="4">
        <f t="shared" si="274"/>
        <v>1.0268631631213978</v>
      </c>
      <c r="Y315" s="4">
        <f t="shared" si="275"/>
        <v>-0.22923906892783269</v>
      </c>
      <c r="Z315" t="str">
        <f t="shared" si="261"/>
        <v>0,999651614564018+0,0320591465487705i</v>
      </c>
      <c r="AA315" s="4">
        <f t="shared" si="276"/>
        <v>1.0001655559845499</v>
      </c>
      <c r="AB315" s="4">
        <f t="shared" si="277"/>
        <v>3.2059331328873182E-2</v>
      </c>
      <c r="AC315" s="47" t="str">
        <f t="shared" si="278"/>
        <v>0,129156515293749-0,255597218703733i</v>
      </c>
      <c r="AD315" s="20">
        <f t="shared" si="279"/>
        <v>-10.861260726808968</v>
      </c>
      <c r="AE315" s="43">
        <f t="shared" si="280"/>
        <v>-63.191951408329082</v>
      </c>
      <c r="AF315" t="str">
        <f t="shared" si="262"/>
        <v>171,265703090588</v>
      </c>
      <c r="AG315" t="str">
        <f t="shared" si="263"/>
        <v>1+259,249614741144i</v>
      </c>
      <c r="AH315">
        <f t="shared" si="281"/>
        <v>259.2515433771448</v>
      </c>
      <c r="AI315">
        <f t="shared" si="282"/>
        <v>1.5669390595758494</v>
      </c>
      <c r="AJ315" t="str">
        <f t="shared" si="264"/>
        <v>1+0,886608028247229i</v>
      </c>
      <c r="AK315">
        <f t="shared" si="283"/>
        <v>1.3364407191313945</v>
      </c>
      <c r="AL315">
        <f t="shared" si="284"/>
        <v>0.72536676075057771</v>
      </c>
      <c r="AM315" t="str">
        <f t="shared" si="265"/>
        <v>1-0,0737204377039873i</v>
      </c>
      <c r="AN315">
        <f t="shared" si="285"/>
        <v>1.0027136694666465</v>
      </c>
      <c r="AO315">
        <f t="shared" si="286"/>
        <v>-7.3587321942177375E-2</v>
      </c>
      <c r="AP315" s="41" t="str">
        <f t="shared" si="287"/>
        <v>0,539717225074937-0,701717941834741i</v>
      </c>
      <c r="AQ315">
        <f t="shared" si="288"/>
        <v>-1.0584862767058425</v>
      </c>
      <c r="AR315" s="43">
        <f t="shared" si="289"/>
        <v>-52.434783850767936</v>
      </c>
      <c r="AS315" t="str">
        <f t="shared" si="266"/>
        <v>-0,0000166666666666667</v>
      </c>
      <c r="AT315" t="str">
        <f t="shared" si="267"/>
        <v>0,0000898922028639551i</v>
      </c>
      <c r="AU315">
        <f t="shared" si="290"/>
        <v>8.9892202863955099E-5</v>
      </c>
      <c r="AV315">
        <f t="shared" si="291"/>
        <v>1.5707963267948966</v>
      </c>
      <c r="AW315" t="str">
        <f t="shared" si="268"/>
        <v>1+0,416548517604427i</v>
      </c>
      <c r="AX315">
        <f t="shared" si="292"/>
        <v>1.0832878968761932</v>
      </c>
      <c r="AY315">
        <f t="shared" si="293"/>
        <v>0.39469044408681014</v>
      </c>
      <c r="AZ315" t="str">
        <f t="shared" si="269"/>
        <v>1+19,3505720450784i</v>
      </c>
      <c r="BA315">
        <f t="shared" si="294"/>
        <v>19.37639384590873</v>
      </c>
      <c r="BB315">
        <f t="shared" si="295"/>
        <v>1.5191641986000635</v>
      </c>
      <c r="BC315" s="41" t="str">
        <f t="shared" si="296"/>
        <v>-2,99145074781531+1,43149163046537i</v>
      </c>
      <c r="BD315">
        <f t="shared" si="297"/>
        <v>10.413115776188961</v>
      </c>
      <c r="BE315" s="43">
        <f t="shared" si="298"/>
        <v>154.42760030683931</v>
      </c>
      <c r="BF315" s="41" t="str">
        <f t="shared" si="299"/>
        <v>-0,0204800749160845+0,94949296169387i</v>
      </c>
      <c r="BG315" s="20">
        <f t="shared" si="300"/>
        <v>-0.44814495062000503</v>
      </c>
      <c r="BH315" s="43">
        <f t="shared" si="301"/>
        <v>91.235648898510235</v>
      </c>
      <c r="BI315" s="41" t="str">
        <f t="shared" si="306"/>
        <v>-0,610034135875407+2,87175535236972i</v>
      </c>
      <c r="BJ315" s="20">
        <f t="shared" si="302"/>
        <v>9.3546294994831083</v>
      </c>
      <c r="BK315" s="43">
        <f t="shared" si="307"/>
        <v>101.9928164560714</v>
      </c>
      <c r="BL315">
        <f t="shared" si="303"/>
        <v>-0.44814495062000503</v>
      </c>
      <c r="BM315" s="43">
        <f t="shared" si="304"/>
        <v>91.235648898510235</v>
      </c>
    </row>
    <row r="316" spans="14:65" x14ac:dyDescent="0.25">
      <c r="N316" s="9">
        <v>98</v>
      </c>
      <c r="O316" s="34">
        <f t="shared" si="305"/>
        <v>9549.9258602143691</v>
      </c>
      <c r="P316" s="33" t="str">
        <f t="shared" si="257"/>
        <v>54,631621870174</v>
      </c>
      <c r="Q316" s="4" t="str">
        <f t="shared" si="258"/>
        <v>1+267,851659063712i</v>
      </c>
      <c r="R316" s="4">
        <f t="shared" si="270"/>
        <v>267.85352576209078</v>
      </c>
      <c r="S316" s="4">
        <f t="shared" si="271"/>
        <v>1.5670629343738147</v>
      </c>
      <c r="T316" s="4" t="str">
        <f t="shared" si="259"/>
        <v>1+0,907259782205246i</v>
      </c>
      <c r="U316" s="4">
        <f t="shared" si="272"/>
        <v>1.3502297257900635</v>
      </c>
      <c r="V316" s="4">
        <f t="shared" si="273"/>
        <v>0.7368115831834009</v>
      </c>
      <c r="W316" t="str">
        <f t="shared" si="260"/>
        <v>1-0,238776064285619i</v>
      </c>
      <c r="X316" s="4">
        <f t="shared" si="274"/>
        <v>1.0281118659346997</v>
      </c>
      <c r="Y316" s="4">
        <f t="shared" si="275"/>
        <v>-0.23438738313606475</v>
      </c>
      <c r="Z316" t="str">
        <f t="shared" si="261"/>
        <v>0,999635195664258+0,0328059000018586i</v>
      </c>
      <c r="AA316" s="4">
        <f t="shared" si="276"/>
        <v>1.0001733607158567</v>
      </c>
      <c r="AB316" s="4">
        <f t="shared" si="277"/>
        <v>3.2806097956163911E-2</v>
      </c>
      <c r="AC316" s="47" t="str">
        <f t="shared" si="278"/>
        <v>0,129051254016983-0,251960033989251i</v>
      </c>
      <c r="AD316" s="20">
        <f t="shared" si="279"/>
        <v>-10.961610403799003</v>
      </c>
      <c r="AE316" s="43">
        <f t="shared" si="280"/>
        <v>-62.878957138237801</v>
      </c>
      <c r="AF316" t="str">
        <f t="shared" si="262"/>
        <v>171,265703090588</v>
      </c>
      <c r="AG316" t="str">
        <f t="shared" si="263"/>
        <v>1+265,288314016098i</v>
      </c>
      <c r="AH316">
        <f t="shared" si="281"/>
        <v>265.29019875129922</v>
      </c>
      <c r="AI316">
        <f t="shared" si="282"/>
        <v>1.5670268608558742</v>
      </c>
      <c r="AJ316" t="str">
        <f t="shared" si="264"/>
        <v>1+0,907259782205246i</v>
      </c>
      <c r="AK316">
        <f t="shared" si="283"/>
        <v>1.3502297257900635</v>
      </c>
      <c r="AL316">
        <f t="shared" si="284"/>
        <v>0.7368115831834009</v>
      </c>
      <c r="AM316" t="str">
        <f t="shared" si="265"/>
        <v>1-0,0754376072903601i</v>
      </c>
      <c r="AN316">
        <f t="shared" si="285"/>
        <v>1.0028413795778945</v>
      </c>
      <c r="AO316">
        <f t="shared" si="286"/>
        <v>-7.5294992999550725E-2</v>
      </c>
      <c r="AP316" s="41" t="str">
        <f t="shared" si="287"/>
        <v>0,539602900056748-0,687733961111665i</v>
      </c>
      <c r="AQ316">
        <f t="shared" si="288"/>
        <v>-1.1682178549428888</v>
      </c>
      <c r="AR316" s="43">
        <f t="shared" si="289"/>
        <v>-51.881916815255835</v>
      </c>
      <c r="AS316" t="str">
        <f t="shared" si="266"/>
        <v>-0,0000166666666666667</v>
      </c>
      <c r="AT316" t="str">
        <f t="shared" si="267"/>
        <v>0,0000919860612513652i</v>
      </c>
      <c r="AU316">
        <f t="shared" si="290"/>
        <v>9.1986061251365196E-5</v>
      </c>
      <c r="AV316">
        <f t="shared" si="291"/>
        <v>1.5707963267948966</v>
      </c>
      <c r="AW316" t="str">
        <f t="shared" si="268"/>
        <v>1+0,426251179009547i</v>
      </c>
      <c r="AX316">
        <f t="shared" si="292"/>
        <v>1.0870556874452335</v>
      </c>
      <c r="AY316">
        <f t="shared" si="293"/>
        <v>0.40292992982649883</v>
      </c>
      <c r="AZ316" t="str">
        <f t="shared" si="269"/>
        <v>1+19,8013047703526i</v>
      </c>
      <c r="BA316">
        <f t="shared" si="294"/>
        <v>19.826539552034507</v>
      </c>
      <c r="BB316">
        <f t="shared" si="295"/>
        <v>1.5203374722483132</v>
      </c>
      <c r="BC316" s="41" t="str">
        <f t="shared" si="296"/>
        <v>-2,97074964328651+1,44747240956834i</v>
      </c>
      <c r="BD316">
        <f t="shared" si="297"/>
        <v>10.382437090760927</v>
      </c>
      <c r="BE316" s="43">
        <f t="shared" si="298"/>
        <v>154.02273617685552</v>
      </c>
      <c r="BF316" s="41" t="str">
        <f t="shared" si="299"/>
        <v>-0,0186737693232871+0,935308310705803i</v>
      </c>
      <c r="BG316" s="20">
        <f t="shared" si="300"/>
        <v>-0.57917331303807218</v>
      </c>
      <c r="BH316" s="43">
        <f t="shared" si="301"/>
        <v>91.143779038617708</v>
      </c>
      <c r="BI316" s="41" t="str">
        <f t="shared" si="306"/>
        <v>-0,60754918902767+2,8241457296037i</v>
      </c>
      <c r="BJ316" s="20">
        <f t="shared" si="302"/>
        <v>9.2142192358180317</v>
      </c>
      <c r="BK316" s="43">
        <f t="shared" si="307"/>
        <v>102.14081936159968</v>
      </c>
      <c r="BL316">
        <f t="shared" si="303"/>
        <v>-0.57917331303807218</v>
      </c>
      <c r="BM316" s="43">
        <f t="shared" si="304"/>
        <v>91.143779038617708</v>
      </c>
    </row>
    <row r="317" spans="14:65" x14ac:dyDescent="0.25">
      <c r="N317" s="9">
        <v>99</v>
      </c>
      <c r="O317" s="34">
        <f t="shared" si="305"/>
        <v>9772.3722095581161</v>
      </c>
      <c r="P317" s="33" t="str">
        <f t="shared" si="257"/>
        <v>54,631621870174</v>
      </c>
      <c r="Q317" s="4" t="str">
        <f t="shared" si="258"/>
        <v>1+274,090725690671i</v>
      </c>
      <c r="R317" s="4">
        <f t="shared" si="270"/>
        <v>274.09254989809307</v>
      </c>
      <c r="S317" s="4">
        <f t="shared" si="271"/>
        <v>1.567147915997672</v>
      </c>
      <c r="T317" s="4" t="str">
        <f t="shared" si="259"/>
        <v>1+0,928392577308792i</v>
      </c>
      <c r="U317" s="4">
        <f t="shared" si="272"/>
        <v>1.364519247794644</v>
      </c>
      <c r="V317" s="4">
        <f t="shared" si="273"/>
        <v>0.74828199828006303</v>
      </c>
      <c r="W317" t="str">
        <f t="shared" si="260"/>
        <v>1-0,244337873307853i</v>
      </c>
      <c r="X317" s="4">
        <f t="shared" si="274"/>
        <v>1.0294177948396872</v>
      </c>
      <c r="Y317" s="4">
        <f t="shared" si="275"/>
        <v>-0.23964254416592204</v>
      </c>
      <c r="Z317" t="str">
        <f t="shared" si="261"/>
        <v>0,999618002965591+0,0335700475773651i</v>
      </c>
      <c r="AA317" s="4">
        <f t="shared" si="276"/>
        <v>1.0001815334964261</v>
      </c>
      <c r="AB317" s="4">
        <f t="shared" si="277"/>
        <v>3.3570259643063809E-2</v>
      </c>
      <c r="AC317" s="47" t="str">
        <f t="shared" si="278"/>
        <v>0,128944332683528-0,24845628997306i</v>
      </c>
      <c r="AD317" s="20">
        <f t="shared" si="279"/>
        <v>-11.059212634374516</v>
      </c>
      <c r="AE317" s="43">
        <f t="shared" si="280"/>
        <v>-62.571501639516619</v>
      </c>
      <c r="AF317" t="str">
        <f t="shared" si="262"/>
        <v>171,265703090588</v>
      </c>
      <c r="AG317" t="str">
        <f t="shared" si="263"/>
        <v>1+271,467672666649i</v>
      </c>
      <c r="AH317">
        <f t="shared" si="281"/>
        <v>271.46951450033367</v>
      </c>
      <c r="AI317">
        <f t="shared" si="282"/>
        <v>1.5671126635909209</v>
      </c>
      <c r="AJ317" t="str">
        <f t="shared" si="264"/>
        <v>1+0,928392577308792i</v>
      </c>
      <c r="AK317">
        <f t="shared" si="283"/>
        <v>1.364519247794644</v>
      </c>
      <c r="AL317">
        <f t="shared" si="284"/>
        <v>0.74828199828006303</v>
      </c>
      <c r="AM317" t="str">
        <f t="shared" si="265"/>
        <v>1-0,077194774894653i</v>
      </c>
      <c r="AN317">
        <f t="shared" si="285"/>
        <v>1.0029750910521338</v>
      </c>
      <c r="AO317">
        <f t="shared" si="286"/>
        <v>-7.7041985399704166E-2</v>
      </c>
      <c r="AP317" s="41" t="str">
        <f t="shared" si="287"/>
        <v>0,539493720369049-0,67411458723669i</v>
      </c>
      <c r="AQ317">
        <f t="shared" si="288"/>
        <v>-1.2756170170598422</v>
      </c>
      <c r="AR317" s="43">
        <f t="shared" si="289"/>
        <v>-51.329721866912962</v>
      </c>
      <c r="AS317" t="str">
        <f t="shared" si="266"/>
        <v>-0,0000166666666666667</v>
      </c>
      <c r="AT317" t="str">
        <f t="shared" si="267"/>
        <v>0,0000941286918660302i</v>
      </c>
      <c r="AU317">
        <f t="shared" si="290"/>
        <v>9.4128691866030196E-5</v>
      </c>
      <c r="AV317">
        <f t="shared" si="291"/>
        <v>1.5707963267948966</v>
      </c>
      <c r="AW317" t="str">
        <f t="shared" si="268"/>
        <v>1+0,436179844431879i</v>
      </c>
      <c r="AX317">
        <f t="shared" si="292"/>
        <v>1.0909871019808703</v>
      </c>
      <c r="AY317">
        <f t="shared" si="293"/>
        <v>0.41130183962355138</v>
      </c>
      <c r="AZ317" t="str">
        <f t="shared" si="269"/>
        <v>1+20,2625364095173i</v>
      </c>
      <c r="BA317">
        <f t="shared" si="294"/>
        <v>20.287197483807716</v>
      </c>
      <c r="BB317">
        <f t="shared" si="295"/>
        <v>1.5214841732942026</v>
      </c>
      <c r="BC317" s="41" t="str">
        <f t="shared" si="296"/>
        <v>-2,94937779572764+1,46352170296322i</v>
      </c>
      <c r="BD317">
        <f t="shared" si="297"/>
        <v>10.350583339680126</v>
      </c>
      <c r="BE317" s="43">
        <f t="shared" si="298"/>
        <v>153.60876220931286</v>
      </c>
      <c r="BF317" s="41" t="str">
        <f t="shared" si="299"/>
        <v>-0,016684379088419+0,921504294211864i</v>
      </c>
      <c r="BG317" s="20">
        <f t="shared" si="300"/>
        <v>-0.70862929469438607</v>
      </c>
      <c r="BH317" s="43">
        <f t="shared" si="301"/>
        <v>91.037260569796246</v>
      </c>
      <c r="BI317" s="41" t="str">
        <f t="shared" si="306"/>
        <v>-0,604589471085981+2,77777936374447i</v>
      </c>
      <c r="BJ317" s="20">
        <f t="shared" si="302"/>
        <v>9.0749663226202841</v>
      </c>
      <c r="BK317" s="43">
        <f t="shared" si="307"/>
        <v>102.27904034239991</v>
      </c>
      <c r="BL317">
        <f t="shared" si="303"/>
        <v>-0.70862929469438607</v>
      </c>
      <c r="BM317" s="43">
        <f t="shared" si="304"/>
        <v>91.037260569796246</v>
      </c>
    </row>
    <row r="318" spans="14:65" x14ac:dyDescent="0.25">
      <c r="N318" s="9">
        <v>100</v>
      </c>
      <c r="O318" s="34">
        <f t="shared" si="305"/>
        <v>10000</v>
      </c>
      <c r="P318" s="33" t="str">
        <f t="shared" si="257"/>
        <v>54,631621870174</v>
      </c>
      <c r="Q318" s="4" t="str">
        <f t="shared" si="258"/>
        <v>1+280,47511884841i</v>
      </c>
      <c r="R318" s="4">
        <f t="shared" si="270"/>
        <v>280.47690153206861</v>
      </c>
      <c r="S318" s="4">
        <f t="shared" si="271"/>
        <v>1.5672309632545232</v>
      </c>
      <c r="T318" s="4" t="str">
        <f t="shared" si="259"/>
        <v>1+0,950017618445555i</v>
      </c>
      <c r="U318" s="4">
        <f t="shared" si="272"/>
        <v>1.3793235571674125</v>
      </c>
      <c r="V318" s="4">
        <f t="shared" si="273"/>
        <v>0.75977201547527407</v>
      </c>
      <c r="W318" t="str">
        <f t="shared" si="260"/>
        <v>1-0,250029233504708i</v>
      </c>
      <c r="X318" s="4">
        <f t="shared" si="274"/>
        <v>1.0307834969609049</v>
      </c>
      <c r="Y318" s="4">
        <f t="shared" si="275"/>
        <v>-0.24500617682438905</v>
      </c>
      <c r="Z318" t="str">
        <f t="shared" si="261"/>
        <v>0,9996+0,0343519944364491i</v>
      </c>
      <c r="AA318" s="4">
        <f t="shared" si="276"/>
        <v>1.000190091693455</v>
      </c>
      <c r="AB318" s="4">
        <f t="shared" si="277"/>
        <v>3.4352221617146898E-2</v>
      </c>
      <c r="AC318" s="47" t="str">
        <f t="shared" si="278"/>
        <v>0,128835524823147-0,245084119730838i</v>
      </c>
      <c r="AD318" s="20">
        <f t="shared" si="279"/>
        <v>-11.154038898531448</v>
      </c>
      <c r="AE318" s="43">
        <f t="shared" si="280"/>
        <v>-62.270047040059353</v>
      </c>
      <c r="AF318" t="str">
        <f t="shared" si="262"/>
        <v>171,265703090588</v>
      </c>
      <c r="AG318" t="str">
        <f t="shared" si="263"/>
        <v>1+277,790967070547i</v>
      </c>
      <c r="AH318">
        <f t="shared" si="281"/>
        <v>277.79276697925337</v>
      </c>
      <c r="AI318">
        <f t="shared" si="282"/>
        <v>1.5671965132696792</v>
      </c>
      <c r="AJ318" t="str">
        <f t="shared" si="264"/>
        <v>1+0,950017618445555i</v>
      </c>
      <c r="AK318">
        <f t="shared" si="283"/>
        <v>1.3793235571674125</v>
      </c>
      <c r="AL318">
        <f t="shared" si="284"/>
        <v>0.75977201547527407</v>
      </c>
      <c r="AM318" t="str">
        <f t="shared" si="265"/>
        <v>1-0,0789928721903887i</v>
      </c>
      <c r="AN318">
        <f t="shared" si="285"/>
        <v>1.003115085051006</v>
      </c>
      <c r="AO318">
        <f t="shared" si="286"/>
        <v>-7.882918274295786E-2</v>
      </c>
      <c r="AP318" s="41" t="str">
        <f t="shared" si="287"/>
        <v>0,539389454446397-0,660852601627268i</v>
      </c>
      <c r="AQ318">
        <f t="shared" si="288"/>
        <v>-1.3806723373772514</v>
      </c>
      <c r="AR318" s="43">
        <f t="shared" si="289"/>
        <v>-50.778595472726401</v>
      </c>
      <c r="AS318" t="str">
        <f t="shared" si="266"/>
        <v>-0,0000166666666666667</v>
      </c>
      <c r="AT318" t="str">
        <f t="shared" si="267"/>
        <v>0,0000963212307590631i</v>
      </c>
      <c r="AU318">
        <f t="shared" si="290"/>
        <v>9.6321230759063105E-5</v>
      </c>
      <c r="AV318">
        <f t="shared" si="291"/>
        <v>1.5707963267948966</v>
      </c>
      <c r="AW318" t="str">
        <f t="shared" si="268"/>
        <v>1+0,446339778181251i</v>
      </c>
      <c r="AX318">
        <f t="shared" si="292"/>
        <v>1.0950886711069969</v>
      </c>
      <c r="AY318">
        <f t="shared" si="293"/>
        <v>0.41980591710263931</v>
      </c>
      <c r="AZ318" t="str">
        <f t="shared" si="269"/>
        <v>1+20,7345115136926i</v>
      </c>
      <c r="BA318">
        <f t="shared" si="294"/>
        <v>20.758611892692898</v>
      </c>
      <c r="BB318">
        <f t="shared" si="295"/>
        <v>1.5226048976643627</v>
      </c>
      <c r="BC318" s="41" t="str">
        <f t="shared" si="296"/>
        <v>-2,92732584158321+1,4796140858353i</v>
      </c>
      <c r="BD318">
        <f t="shared" si="297"/>
        <v>10.317514991821014</v>
      </c>
      <c r="BE318" s="43">
        <f t="shared" si="298"/>
        <v>153.18572723751649</v>
      </c>
      <c r="BF318" s="41" t="str">
        <f t="shared" si="299"/>
        <v>-0,0145136453604403+0,908067934334067i</v>
      </c>
      <c r="BG318" s="20">
        <f t="shared" si="300"/>
        <v>-0.83652390671043908</v>
      </c>
      <c r="BH318" s="43">
        <f t="shared" si="301"/>
        <v>90.915680197457135</v>
      </c>
      <c r="BI318" s="41" t="str">
        <f t="shared" si="306"/>
        <v>-0,601161870649798+2,7326191327709i</v>
      </c>
      <c r="BJ318" s="20">
        <f t="shared" si="302"/>
        <v>8.9368426544437529</v>
      </c>
      <c r="BK318" s="43">
        <f t="shared" si="307"/>
        <v>102.40713176479011</v>
      </c>
      <c r="BL318">
        <f t="shared" si="303"/>
        <v>-0.83652390671043908</v>
      </c>
      <c r="BM318" s="43">
        <f t="shared" si="304"/>
        <v>90.915680197457135</v>
      </c>
    </row>
    <row r="319" spans="14:65" x14ac:dyDescent="0.25">
      <c r="N319" s="9">
        <v>1</v>
      </c>
      <c r="O319" s="34">
        <f>10^(4+(N319/100))</f>
        <v>10232.929922807549</v>
      </c>
      <c r="P319" s="33" t="str">
        <f t="shared" si="257"/>
        <v>54,631621870174</v>
      </c>
      <c r="Q319" s="4" t="str">
        <f t="shared" si="258"/>
        <v>1+287,008223626689i</v>
      </c>
      <c r="R319" s="4">
        <f t="shared" si="270"/>
        <v>287.00996573176252</v>
      </c>
      <c r="S319" s="4">
        <f t="shared" si="271"/>
        <v>1.5673121201725382</v>
      </c>
      <c r="T319" s="4" t="str">
        <f t="shared" si="259"/>
        <v>1+0,972146371498587i</v>
      </c>
      <c r="U319" s="4">
        <f t="shared" si="272"/>
        <v>1.3946571505634884</v>
      </c>
      <c r="V319" s="4">
        <f t="shared" si="273"/>
        <v>0.77127559262631229</v>
      </c>
      <c r="W319" t="str">
        <f t="shared" si="260"/>
        <v>1-0,255853162510696i</v>
      </c>
      <c r="X319" s="4">
        <f t="shared" si="274"/>
        <v>1.0322116259598728</v>
      </c>
      <c r="Y319" s="4">
        <f t="shared" si="275"/>
        <v>-0.25047989001731569</v>
      </c>
      <c r="Z319" t="str">
        <f t="shared" si="261"/>
        <v>0,99958114858078+0,0351521551776858i</v>
      </c>
      <c r="AA319" s="4">
        <f t="shared" si="276"/>
        <v>1.0001990534947069</v>
      </c>
      <c r="AB319" s="4">
        <f t="shared" si="277"/>
        <v>3.5152398548078681E-2</v>
      </c>
      <c r="AC319" s="47" t="str">
        <f t="shared" si="278"/>
        <v>0,128724599994216-0,24184172533229i</v>
      </c>
      <c r="AD319" s="20">
        <f t="shared" si="279"/>
        <v>-11.246062363011792</v>
      </c>
      <c r="AE319" s="43">
        <f t="shared" si="280"/>
        <v>-61.975057994108163</v>
      </c>
      <c r="AF319" t="str">
        <f t="shared" si="262"/>
        <v>171,265703090588</v>
      </c>
      <c r="AG319" t="str">
        <f t="shared" si="263"/>
        <v>1+284,261549922185i</v>
      </c>
      <c r="AH319">
        <f t="shared" si="281"/>
        <v>284.26330886022362</v>
      </c>
      <c r="AI319">
        <f t="shared" si="282"/>
        <v>1.5672784543456395</v>
      </c>
      <c r="AJ319" t="str">
        <f t="shared" si="264"/>
        <v>1+0,972146371498587i</v>
      </c>
      <c r="AK319">
        <f t="shared" si="283"/>
        <v>1.3946571505634884</v>
      </c>
      <c r="AL319">
        <f t="shared" si="284"/>
        <v>0.77127559262631229</v>
      </c>
      <c r="AM319" t="str">
        <f t="shared" si="265"/>
        <v>1-0,080832852552554i</v>
      </c>
      <c r="AN319">
        <f t="shared" si="285"/>
        <v>1.0032616558265262</v>
      </c>
      <c r="AO319">
        <f t="shared" si="286"/>
        <v>-8.0657486931963923E-2</v>
      </c>
      <c r="AP319" s="41" t="str">
        <f t="shared" si="287"/>
        <v>0,5392898811444-0,647940975019988i</v>
      </c>
      <c r="AQ319">
        <f t="shared" si="288"/>
        <v>-1.4833746659609939</v>
      </c>
      <c r="AR319" s="43">
        <f t="shared" si="289"/>
        <v>-50.228938044186378</v>
      </c>
      <c r="AS319" t="str">
        <f t="shared" si="266"/>
        <v>-0,0000166666666666667</v>
      </c>
      <c r="AT319" t="str">
        <f t="shared" si="267"/>
        <v>0,0000985648404436067i</v>
      </c>
      <c r="AU319">
        <f t="shared" si="290"/>
        <v>9.8564840443606704E-5</v>
      </c>
      <c r="AV319">
        <f t="shared" si="291"/>
        <v>1.5707963267948966</v>
      </c>
      <c r="AW319" t="str">
        <f t="shared" si="268"/>
        <v>1+0,45673636718902i</v>
      </c>
      <c r="AX319">
        <f t="shared" si="292"/>
        <v>1.0993671402734499</v>
      </c>
      <c r="AY319">
        <f t="shared" si="293"/>
        <v>0.42844175011788688</v>
      </c>
      <c r="AZ319" t="str">
        <f t="shared" si="269"/>
        <v>1+21,2174803303263i</v>
      </c>
      <c r="BA319">
        <f t="shared" si="294"/>
        <v>21.241032733080171</v>
      </c>
      <c r="BB319">
        <f t="shared" si="295"/>
        <v>1.5237002283140448</v>
      </c>
      <c r="BC319" s="41" t="str">
        <f t="shared" si="296"/>
        <v>-2,90458529969246+1,49572316511774i</v>
      </c>
      <c r="BD319">
        <f t="shared" si="297"/>
        <v>10.283192054005678</v>
      </c>
      <c r="BE319" s="43">
        <f t="shared" si="298"/>
        <v>152.75368827656123</v>
      </c>
      <c r="BF319" s="41" t="str">
        <f t="shared" si="299"/>
        <v>-0,012163309980444+0,894986286384295i</v>
      </c>
      <c r="BG319" s="20">
        <f t="shared" si="300"/>
        <v>-0.96287030900611292</v>
      </c>
      <c r="BH319" s="43">
        <f t="shared" si="301"/>
        <v>90.778630282453051</v>
      </c>
      <c r="BI319" s="41" t="str">
        <f t="shared" si="306"/>
        <v>-0,597273135078547+2,68862819905273i</v>
      </c>
      <c r="BJ319" s="20">
        <f t="shared" si="302"/>
        <v>8.7998173880446888</v>
      </c>
      <c r="BK319" s="43">
        <f t="shared" si="307"/>
        <v>102.52475023237484</v>
      </c>
      <c r="BL319">
        <f t="shared" si="303"/>
        <v>-0.96287030900611292</v>
      </c>
      <c r="BM319" s="43">
        <f t="shared" si="304"/>
        <v>90.778630282453051</v>
      </c>
    </row>
    <row r="320" spans="14:65" x14ac:dyDescent="0.25">
      <c r="N320" s="9">
        <v>2</v>
      </c>
      <c r="O320" s="34">
        <f t="shared" ref="O320:O383" si="308">10^(4+(N320/100))</f>
        <v>10471.285480509003</v>
      </c>
      <c r="P320" s="33" t="str">
        <f t="shared" si="257"/>
        <v>54,631621870174</v>
      </c>
      <c r="Q320" s="4" t="str">
        <f t="shared" si="258"/>
        <v>1+293,693503964139i</v>
      </c>
      <c r="R320" s="4">
        <f t="shared" si="270"/>
        <v>293.69520641429222</v>
      </c>
      <c r="S320" s="4">
        <f t="shared" si="271"/>
        <v>1.5673914297779101</v>
      </c>
      <c r="T320" s="4" t="str">
        <f t="shared" si="259"/>
        <v>1+0,994790569425667i</v>
      </c>
      <c r="U320" s="4">
        <f t="shared" si="272"/>
        <v>1.4105347486036077</v>
      </c>
      <c r="V320" s="4">
        <f t="shared" si="273"/>
        <v>0.78278665178745122</v>
      </c>
      <c r="W320" t="str">
        <f t="shared" si="260"/>
        <v>1-0,261812748250064i</v>
      </c>
      <c r="X320" s="4">
        <f t="shared" si="274"/>
        <v>1.0337049458845842</v>
      </c>
      <c r="Y320" s="4">
        <f t="shared" si="275"/>
        <v>-0.25606527341599472</v>
      </c>
      <c r="Z320" t="str">
        <f t="shared" si="261"/>
        <v>0,999561408721543+0,0359709540568916i</v>
      </c>
      <c r="AA320" s="4">
        <f t="shared" si="276"/>
        <v>1.0002084379473903</v>
      </c>
      <c r="AB320" s="4">
        <f t="shared" si="277"/>
        <v>3.5971214767766393E-2</v>
      </c>
      <c r="AC320" s="47" t="str">
        <f t="shared" si="278"/>
        <v>0,128611323297939-0,238727376840383i</v>
      </c>
      <c r="AD320" s="20">
        <f t="shared" si="279"/>
        <v>-11.335257894457753</v>
      </c>
      <c r="AE320" s="43">
        <f t="shared" si="280"/>
        <v>-61.687000601403923</v>
      </c>
      <c r="AF320" t="str">
        <f t="shared" si="262"/>
        <v>171,265703090588</v>
      </c>
      <c r="AG320" t="str">
        <f t="shared" si="263"/>
        <v>1+290,882852010238i</v>
      </c>
      <c r="AH320">
        <f t="shared" si="281"/>
        <v>290.88457091019802</v>
      </c>
      <c r="AI320">
        <f t="shared" si="282"/>
        <v>1.5673585302606408</v>
      </c>
      <c r="AJ320" t="str">
        <f t="shared" si="264"/>
        <v>1+0,994790569425667i</v>
      </c>
      <c r="AK320">
        <f t="shared" si="283"/>
        <v>1.4105347486036077</v>
      </c>
      <c r="AL320">
        <f t="shared" si="284"/>
        <v>0.78278665178745122</v>
      </c>
      <c r="AM320" t="str">
        <f t="shared" si="265"/>
        <v>1-0,082715691563092i</v>
      </c>
      <c r="AN320">
        <f t="shared" si="285"/>
        <v>1.003415111322707</v>
      </c>
      <c r="AO320">
        <f t="shared" si="286"/>
        <v>-8.2527818438809533E-2</v>
      </c>
      <c r="AP320" s="41" t="str">
        <f t="shared" si="287"/>
        <v>0,539194789270805-0,635372863755108i</v>
      </c>
      <c r="AQ320">
        <f t="shared" si="288"/>
        <v>-1.5837171515164064</v>
      </c>
      <c r="AR320" s="43">
        <f t="shared" si="289"/>
        <v>-49.681153050130483</v>
      </c>
      <c r="AS320" t="str">
        <f t="shared" si="266"/>
        <v>-0,0000166666666666667</v>
      </c>
      <c r="AT320" t="str">
        <f t="shared" si="267"/>
        <v>0,000100860710511213i</v>
      </c>
      <c r="AU320">
        <f t="shared" si="290"/>
        <v>1.00860710511213E-4</v>
      </c>
      <c r="AV320">
        <f t="shared" si="291"/>
        <v>1.5707963267948966</v>
      </c>
      <c r="AW320" t="str">
        <f t="shared" si="268"/>
        <v>1+0,467375123864294i</v>
      </c>
      <c r="AX320">
        <f t="shared" si="292"/>
        <v>1.1038294734274694</v>
      </c>
      <c r="AY320">
        <f t="shared" si="293"/>
        <v>0.43720876414604615</v>
      </c>
      <c r="AZ320" t="str">
        <f t="shared" si="269"/>
        <v>1+21,7116989358776i</v>
      </c>
      <c r="BA320">
        <f t="shared" si="294"/>
        <v>21.734715794833587</v>
      </c>
      <c r="BB320">
        <f t="shared" si="295"/>
        <v>1.5247707354831039</v>
      </c>
      <c r="BC320" s="41" t="str">
        <f t="shared" si="296"/>
        <v>-2,88114865642389+1,5118216009932i</v>
      </c>
      <c r="BD320">
        <f t="shared" si="297"/>
        <v>10.247574121631802</v>
      </c>
      <c r="BE320" s="43">
        <f t="shared" si="298"/>
        <v>152.31271091654122</v>
      </c>
      <c r="BF320" s="41" t="str">
        <f t="shared" si="299"/>
        <v>-0,00963513626502066+0,882246437729413i</v>
      </c>
      <c r="BG320" s="20">
        <f t="shared" si="300"/>
        <v>-1.0876837728259519</v>
      </c>
      <c r="BH320" s="43">
        <f t="shared" si="301"/>
        <v>90.625710315137297</v>
      </c>
      <c r="BI320" s="41" t="str">
        <f t="shared" si="306"/>
        <v>-0,592929922548461+2,64577000229881i</v>
      </c>
      <c r="BJ320" s="20">
        <f t="shared" si="302"/>
        <v>8.6638569701154022</v>
      </c>
      <c r="BK320" s="43">
        <f t="shared" si="307"/>
        <v>102.63155786641074</v>
      </c>
      <c r="BL320">
        <f t="shared" si="303"/>
        <v>-1.0876837728259519</v>
      </c>
      <c r="BM320" s="43">
        <f t="shared" si="304"/>
        <v>90.625710315137297</v>
      </c>
    </row>
    <row r="321" spans="14:65" x14ac:dyDescent="0.25">
      <c r="N321" s="9">
        <v>3</v>
      </c>
      <c r="O321" s="34">
        <f t="shared" si="308"/>
        <v>10715.193052376071</v>
      </c>
      <c r="P321" s="33" t="str">
        <f t="shared" si="257"/>
        <v>54,631621870174</v>
      </c>
      <c r="Q321" s="4" t="str">
        <f t="shared" si="258"/>
        <v>1+300,534504484883i</v>
      </c>
      <c r="R321" s="4">
        <f t="shared" si="270"/>
        <v>300.53616818275651</v>
      </c>
      <c r="S321" s="4">
        <f t="shared" si="271"/>
        <v>1.5674689341176489</v>
      </c>
      <c r="T321" s="4" t="str">
        <f t="shared" si="259"/>
        <v>1+1,01796221848027i</v>
      </c>
      <c r="U321" s="4">
        <f t="shared" si="272"/>
        <v>1.4269712955253417</v>
      </c>
      <c r="V321" s="4">
        <f t="shared" si="273"/>
        <v>0.79429909521446473</v>
      </c>
      <c r="W321" t="str">
        <f t="shared" si="260"/>
        <v>1-0,267911150574056i</v>
      </c>
      <c r="X321" s="4">
        <f t="shared" si="274"/>
        <v>1.0352663351050853</v>
      </c>
      <c r="Y321" s="4">
        <f t="shared" si="275"/>
        <v>-0.26176389392575433</v>
      </c>
      <c r="Z321" t="str">
        <f t="shared" si="261"/>
        <v>0,999540738551401+0,0368088252120701i</v>
      </c>
      <c r="AA321" s="4">
        <f t="shared" si="276"/>
        <v>1.0002182649988816</v>
      </c>
      <c r="AB321" s="4">
        <f t="shared" si="277"/>
        <v>3.6809104495652396E-2</v>
      </c>
      <c r="AC321" s="47" t="str">
        <f t="shared" si="278"/>
        <v>0,128495454883388-0,23573941134275i</v>
      </c>
      <c r="AD321" s="20">
        <f t="shared" si="279"/>
        <v>-11.421602063153431</v>
      </c>
      <c r="AE321" s="43">
        <f t="shared" si="280"/>
        <v>-61.406341302074907</v>
      </c>
      <c r="AF321" t="str">
        <f t="shared" si="262"/>
        <v>171,265703090588</v>
      </c>
      <c r="AG321" t="str">
        <f t="shared" si="263"/>
        <v>1+297,658384036716i</v>
      </c>
      <c r="AH321">
        <f t="shared" si="281"/>
        <v>297.66006380995941</v>
      </c>
      <c r="AI321">
        <f t="shared" si="282"/>
        <v>1.5674367834678835</v>
      </c>
      <c r="AJ321" t="str">
        <f t="shared" si="264"/>
        <v>1+1,01796221848027i</v>
      </c>
      <c r="AK321">
        <f t="shared" si="283"/>
        <v>1.4269712955253417</v>
      </c>
      <c r="AL321">
        <f t="shared" si="284"/>
        <v>0.79429909521446473</v>
      </c>
      <c r="AM321" t="str">
        <f t="shared" si="265"/>
        <v>1-0,0846423875281683i</v>
      </c>
      <c r="AN321">
        <f t="shared" si="285"/>
        <v>1.0035757738040854</v>
      </c>
      <c r="AO321">
        <f t="shared" si="286"/>
        <v>-8.4441116567411462E-2</v>
      </c>
      <c r="AP321" s="41" t="str">
        <f t="shared" si="287"/>
        <v>0,539103977137647-0,623141606158727i</v>
      </c>
      <c r="AQ321">
        <f t="shared" si="288"/>
        <v>-1.6816952539701144</v>
      </c>
      <c r="AR321" s="43">
        <f t="shared" si="289"/>
        <v>-49.135646116107004</v>
      </c>
      <c r="AS321" t="str">
        <f t="shared" si="266"/>
        <v>-0,0000166666666666667</v>
      </c>
      <c r="AT321" t="str">
        <f t="shared" si="267"/>
        <v>0,000103210058262582i</v>
      </c>
      <c r="AU321">
        <f t="shared" si="290"/>
        <v>1.03210058262582E-4</v>
      </c>
      <c r="AV321">
        <f t="shared" si="291"/>
        <v>1.5707963267948966</v>
      </c>
      <c r="AW321" t="str">
        <f t="shared" si="268"/>
        <v>1+0,478261689016681i</v>
      </c>
      <c r="AX321">
        <f t="shared" si="292"/>
        <v>1.1084828565120384</v>
      </c>
      <c r="AY321">
        <f t="shared" si="293"/>
        <v>0.44610621585061283</v>
      </c>
      <c r="AZ321" t="str">
        <f t="shared" si="269"/>
        <v>1+22,2174293715931i</v>
      </c>
      <c r="BA321">
        <f t="shared" si="294"/>
        <v>22.239922838933765</v>
      </c>
      <c r="BB321">
        <f t="shared" si="295"/>
        <v>1.5258169769487431</v>
      </c>
      <c r="BC321" s="41" t="str">
        <f t="shared" si="296"/>
        <v>-2,85700945204424+1,52788113534029i</v>
      </c>
      <c r="BD321">
        <f t="shared" si="297"/>
        <v>10.210620434278685</v>
      </c>
      <c r="BE321" s="43">
        <f t="shared" si="298"/>
        <v>151.8628697057807</v>
      </c>
      <c r="BF321" s="41" t="str">
        <f t="shared" si="299"/>
        <v>-0,00693092969975123+0,86983550791888i</v>
      </c>
      <c r="BG321" s="20">
        <f t="shared" si="300"/>
        <v>-1.2109816288747417</v>
      </c>
      <c r="BH321" s="43">
        <f t="shared" si="301"/>
        <v>90.456528403705789</v>
      </c>
      <c r="BI321" s="41" t="str">
        <f t="shared" si="306"/>
        <v>-0,588138853621332+2,60400825541305i</v>
      </c>
      <c r="BJ321" s="20">
        <f t="shared" si="302"/>
        <v>8.528925180308585</v>
      </c>
      <c r="BK321" s="43">
        <f t="shared" si="307"/>
        <v>102.72722358967367</v>
      </c>
      <c r="BL321">
        <f t="shared" si="303"/>
        <v>-1.2109816288747417</v>
      </c>
      <c r="BM321" s="43">
        <f t="shared" si="304"/>
        <v>90.456528403705789</v>
      </c>
    </row>
    <row r="322" spans="14:65" x14ac:dyDescent="0.25">
      <c r="N322" s="9">
        <v>4</v>
      </c>
      <c r="O322" s="34">
        <f t="shared" si="308"/>
        <v>10964.781961431856</v>
      </c>
      <c r="P322" s="33" t="str">
        <f t="shared" si="257"/>
        <v>54,631621870174</v>
      </c>
      <c r="Q322" s="4" t="str">
        <f t="shared" si="258"/>
        <v>1+307,53485237795i</v>
      </c>
      <c r="R322" s="4">
        <f t="shared" si="270"/>
        <v>307.53647820563907</v>
      </c>
      <c r="S322" s="4">
        <f t="shared" si="271"/>
        <v>1.5675446742818544</v>
      </c>
      <c r="T322" s="4" t="str">
        <f t="shared" si="259"/>
        <v>1+1,04167360457743i</v>
      </c>
      <c r="U322" s="4">
        <f t="shared" si="272"/>
        <v>1.4439819591924743</v>
      </c>
      <c r="V322" s="4">
        <f t="shared" si="273"/>
        <v>0.80580682149676619</v>
      </c>
      <c r="W322" t="str">
        <f t="shared" si="260"/>
        <v>1-0,274151602936305i</v>
      </c>
      <c r="X322" s="4">
        <f t="shared" si="274"/>
        <v>1.0368987903322799</v>
      </c>
      <c r="Y322" s="4">
        <f t="shared" si="275"/>
        <v>-0.26757729195206431</v>
      </c>
      <c r="Z322" t="str">
        <f t="shared" si="261"/>
        <v>0,999519094226153+0,0376662128935985i</v>
      </c>
      <c r="AA322" s="4">
        <f t="shared" si="276"/>
        <v>1.0002285555393902</v>
      </c>
      <c r="AB322" s="4">
        <f t="shared" si="277"/>
        <v>3.7666512069271615E-2</v>
      </c>
      <c r="AC322" s="47" t="str">
        <f t="shared" si="278"/>
        <v>0,128376749442342-0,232876232014502i</v>
      </c>
      <c r="AD322" s="20">
        <f t="shared" si="279"/>
        <v>-11.505073137313381</v>
      </c>
      <c r="AE322" s="43">
        <f t="shared" si="280"/>
        <v>-61.133545752884096</v>
      </c>
      <c r="AF322" t="str">
        <f t="shared" si="262"/>
        <v>171,265703090588</v>
      </c>
      <c r="AG322" t="str">
        <f t="shared" si="263"/>
        <v>1+304,591738478385i</v>
      </c>
      <c r="AH322">
        <f t="shared" si="281"/>
        <v>304.5933800155297</v>
      </c>
      <c r="AI322">
        <f t="shared" si="282"/>
        <v>1.567513255454418</v>
      </c>
      <c r="AJ322" t="str">
        <f t="shared" si="264"/>
        <v>1+1,04167360457743i</v>
      </c>
      <c r="AK322">
        <f t="shared" si="283"/>
        <v>1.4439819591924743</v>
      </c>
      <c r="AL322">
        <f t="shared" si="284"/>
        <v>0.80580682149676619</v>
      </c>
      <c r="AM322" t="str">
        <f t="shared" si="265"/>
        <v>1-0,0866139620074865i</v>
      </c>
      <c r="AN322">
        <f t="shared" si="285"/>
        <v>1.003743980512279</v>
      </c>
      <c r="AO322">
        <f t="shared" si="286"/>
        <v>-8.639833971036634E-2</v>
      </c>
      <c r="AP322" s="41" t="str">
        <f t="shared" si="287"/>
        <v>0,539017252133575-0,611240719020718i</v>
      </c>
      <c r="AQ322">
        <f t="shared" si="288"/>
        <v>-1.7773067465724155</v>
      </c>
      <c r="AR322" s="43">
        <f t="shared" si="289"/>
        <v>-48.592824116075363</v>
      </c>
      <c r="AS322" t="str">
        <f t="shared" si="266"/>
        <v>-0,0000166666666666667</v>
      </c>
      <c r="AT322" t="str">
        <f t="shared" si="267"/>
        <v>0,000105614129352989i</v>
      </c>
      <c r="AU322">
        <f t="shared" si="290"/>
        <v>1.05614129352989E-4</v>
      </c>
      <c r="AV322">
        <f t="shared" si="291"/>
        <v>1.5707963267948966</v>
      </c>
      <c r="AW322" t="str">
        <f t="shared" si="268"/>
        <v>1+0,489401834847127i</v>
      </c>
      <c r="AX322">
        <f t="shared" si="292"/>
        <v>1.1133347007758874</v>
      </c>
      <c r="AY322">
        <f t="shared" si="293"/>
        <v>0.45513318686351595</v>
      </c>
      <c r="AZ322" t="str">
        <f t="shared" si="269"/>
        <v>1+22,7349397824438i</v>
      </c>
      <c r="BA322">
        <f t="shared" si="294"/>
        <v>22.756921736283793</v>
      </c>
      <c r="BB322">
        <f t="shared" si="295"/>
        <v>1.5268394982749172</v>
      </c>
      <c r="BC322" s="41" t="str">
        <f t="shared" si="296"/>
        <v>-2,83216236778137+1,5438726274973i</v>
      </c>
      <c r="BD322">
        <f t="shared" si="297"/>
        <v>10.172289936341405</v>
      </c>
      <c r="BE322" s="43">
        <f t="shared" si="298"/>
        <v>151.4042485214064</v>
      </c>
      <c r="BF322" s="41" t="str">
        <f t="shared" si="299"/>
        <v>-0,00405255846679892+0,857740650133307i</v>
      </c>
      <c r="BG322" s="20">
        <f t="shared" si="300"/>
        <v>-1.3327832009719729</v>
      </c>
      <c r="BH322" s="43">
        <f t="shared" si="301"/>
        <v>90.270702768522312</v>
      </c>
      <c r="BI322" s="41" t="str">
        <f t="shared" si="306"/>
        <v>-0,582906562169779+2,56330694338394i</v>
      </c>
      <c r="BJ322" s="20">
        <f t="shared" si="302"/>
        <v>8.3949831897689897</v>
      </c>
      <c r="BK322" s="43">
        <f t="shared" si="307"/>
        <v>102.81142440533105</v>
      </c>
      <c r="BL322">
        <f t="shared" si="303"/>
        <v>-1.3327832009719729</v>
      </c>
      <c r="BM322" s="43">
        <f t="shared" si="304"/>
        <v>90.270702768522312</v>
      </c>
    </row>
    <row r="323" spans="14:65" x14ac:dyDescent="0.25">
      <c r="N323" s="9">
        <v>5</v>
      </c>
      <c r="O323" s="34">
        <f t="shared" si="308"/>
        <v>11220.184543019639</v>
      </c>
      <c r="P323" s="33" t="str">
        <f t="shared" si="257"/>
        <v>54,631621870174</v>
      </c>
      <c r="Q323" s="4" t="str">
        <f t="shared" si="258"/>
        <v>1+314,698259320452i</v>
      </c>
      <c r="R323" s="4">
        <f t="shared" si="270"/>
        <v>314.6998481399736</v>
      </c>
      <c r="S323" s="4">
        <f t="shared" si="271"/>
        <v>1.5676186904254863</v>
      </c>
      <c r="T323" s="4" t="str">
        <f t="shared" si="259"/>
        <v>1+1,06593729980791i</v>
      </c>
      <c r="U323" s="4">
        <f t="shared" si="272"/>
        <v>1.4615821315005797</v>
      </c>
      <c r="V323" s="4">
        <f t="shared" si="273"/>
        <v>0.81730374171322762</v>
      </c>
      <c r="W323" t="str">
        <f t="shared" si="260"/>
        <v>1-0,280537414107257i</v>
      </c>
      <c r="X323" s="4">
        <f t="shared" si="274"/>
        <v>1.0386054307165868</v>
      </c>
      <c r="Y323" s="4">
        <f t="shared" si="275"/>
        <v>-0.27350697746029312</v>
      </c>
      <c r="Z323" t="str">
        <f t="shared" si="261"/>
        <v>0,999496429835282+0,0385435716997743i</v>
      </c>
      <c r="AA323" s="4">
        <f t="shared" si="276"/>
        <v>1.0002393314466544</v>
      </c>
      <c r="AB323" s="4">
        <f t="shared" si="277"/>
        <v>3.8543892180194501E-2</v>
      </c>
      <c r="AC323" s="47" t="str">
        <f t="shared" si="278"/>
        <v>0,128254955692908-0,230136307211695i</v>
      </c>
      <c r="AD323" s="20">
        <f t="shared" si="279"/>
        <v>-11.585651067976872</v>
      </c>
      <c r="AE323" s="43">
        <f t="shared" si="280"/>
        <v>-60.869077690574329</v>
      </c>
      <c r="AF323" t="str">
        <f t="shared" si="262"/>
        <v>171,265703090588</v>
      </c>
      <c r="AG323" t="str">
        <f t="shared" si="263"/>
        <v>1+311,686591491543i</v>
      </c>
      <c r="AH323">
        <f t="shared" si="281"/>
        <v>311.68819566293496</v>
      </c>
      <c r="AI323">
        <f t="shared" si="282"/>
        <v>1.5675879867631242</v>
      </c>
      <c r="AJ323" t="str">
        <f t="shared" si="264"/>
        <v>1+1,06593729980791i</v>
      </c>
      <c r="AK323">
        <f t="shared" si="283"/>
        <v>1.4615821315005797</v>
      </c>
      <c r="AL323">
        <f t="shared" si="284"/>
        <v>0.81730374171322762</v>
      </c>
      <c r="AM323" t="str">
        <f t="shared" si="265"/>
        <v>1-0,0886314603559324i</v>
      </c>
      <c r="AN323">
        <f t="shared" si="285"/>
        <v>1.0039200843517502</v>
      </c>
      <c r="AO323">
        <f t="shared" si="286"/>
        <v>-8.840046559935355E-2</v>
      </c>
      <c r="AP323" s="41" t="str">
        <f t="shared" si="287"/>
        <v>0,53893443031541-0,599663894166625i</v>
      </c>
      <c r="AQ323">
        <f t="shared" si="288"/>
        <v>-1.870551707445123</v>
      </c>
      <c r="AR323" s="43">
        <f t="shared" si="289"/>
        <v>-48.053094262352758</v>
      </c>
      <c r="AS323" t="str">
        <f t="shared" si="266"/>
        <v>-0,0000166666666666667</v>
      </c>
      <c r="AT323" t="str">
        <f t="shared" si="267"/>
        <v>0,000108074198452747i</v>
      </c>
      <c r="AU323">
        <f t="shared" si="290"/>
        <v>1.08074198452747E-4</v>
      </c>
      <c r="AV323">
        <f t="shared" si="291"/>
        <v>1.5707963267948966</v>
      </c>
      <c r="AW323" t="str">
        <f t="shared" si="268"/>
        <v>1+0,500801468008408i</v>
      </c>
      <c r="AX323">
        <f t="shared" si="292"/>
        <v>1.1183926458804065</v>
      </c>
      <c r="AY323">
        <f t="shared" si="293"/>
        <v>0.46428857783332012</v>
      </c>
      <c r="AZ323" t="str">
        <f t="shared" si="269"/>
        <v>1+23,2645045592997i</v>
      </c>
      <c r="BA323">
        <f t="shared" si="294"/>
        <v>23.285986609754726</v>
      </c>
      <c r="BB323">
        <f t="shared" si="295"/>
        <v>1.5278388330583235</v>
      </c>
      <c r="BC323" s="41" t="str">
        <f t="shared" si="296"/>
        <v>-2,80660331298142+1,55976609767896i</v>
      </c>
      <c r="BD323">
        <f t="shared" si="297"/>
        <v>10.132541342713191</v>
      </c>
      <c r="BE323" s="43">
        <f t="shared" si="298"/>
        <v>150.93694092445429</v>
      </c>
      <c r="BF323" s="41" t="str">
        <f t="shared" si="299"/>
        <v>-0,00100197372016902+0,845949054006768i</v>
      </c>
      <c r="BG323" s="20">
        <f t="shared" si="300"/>
        <v>-1.4531097252636846</v>
      </c>
      <c r="BH323" s="43">
        <f t="shared" si="301"/>
        <v>90.067863233879947</v>
      </c>
      <c r="BI323" s="41" t="str">
        <f t="shared" si="306"/>
        <v>-0,577239745479738+2,52363032532129i</v>
      </c>
      <c r="BJ323" s="20">
        <f t="shared" si="302"/>
        <v>8.2619896352680673</v>
      </c>
      <c r="BK323" s="43">
        <f t="shared" si="307"/>
        <v>102.88384666210152</v>
      </c>
      <c r="BL323">
        <f t="shared" si="303"/>
        <v>-1.4531097252636846</v>
      </c>
      <c r="BM323" s="43">
        <f t="shared" si="304"/>
        <v>90.067863233879947</v>
      </c>
    </row>
    <row r="324" spans="14:65" x14ac:dyDescent="0.25">
      <c r="N324" s="9">
        <v>6</v>
      </c>
      <c r="O324" s="34">
        <f t="shared" si="308"/>
        <v>11481.536214968832</v>
      </c>
      <c r="P324" s="33" t="str">
        <f t="shared" si="257"/>
        <v>54,631621870174</v>
      </c>
      <c r="Q324" s="4" t="str">
        <f t="shared" si="258"/>
        <v>1+322,02852344557i</v>
      </c>
      <c r="R324" s="4">
        <f t="shared" si="270"/>
        <v>322.03007609932035</v>
      </c>
      <c r="S324" s="4">
        <f t="shared" si="271"/>
        <v>1.567691021789638</v>
      </c>
      <c r="T324" s="4" t="str">
        <f t="shared" si="259"/>
        <v>1+1,09076616910411i</v>
      </c>
      <c r="U324" s="4">
        <f t="shared" si="272"/>
        <v>1.4797874292147692</v>
      </c>
      <c r="V324" s="4">
        <f t="shared" si="273"/>
        <v>0.8287837955074161</v>
      </c>
      <c r="W324" t="str">
        <f t="shared" si="260"/>
        <v>1-0,28707196992852i</v>
      </c>
      <c r="X324" s="4">
        <f t="shared" si="274"/>
        <v>1.0403895020225076</v>
      </c>
      <c r="Y324" s="4">
        <f t="shared" si="275"/>
        <v>-0.27955442582594159</v>
      </c>
      <c r="Z324" t="str">
        <f t="shared" si="261"/>
        <v>0,999472697304577+0,0394413668178498i</v>
      </c>
      <c r="AA324" s="4">
        <f t="shared" si="276"/>
        <v>1.0002506156327755</v>
      </c>
      <c r="AB324" s="4">
        <f t="shared" si="277"/>
        <v>3.9441710115484307E-2</v>
      </c>
      <c r="AC324" s="47" t="str">
        <f t="shared" si="278"/>
        <v>0,128129815850831-0,227518169594663i</v>
      </c>
      <c r="AD324" s="20">
        <f t="shared" si="279"/>
        <v>-11.663317464669676</v>
      </c>
      <c r="AE324" s="43">
        <f t="shared" si="280"/>
        <v>-60.613397788114533</v>
      </c>
      <c r="AF324" t="str">
        <f t="shared" si="262"/>
        <v>171,265703090588</v>
      </c>
      <c r="AG324" t="str">
        <f t="shared" si="263"/>
        <v>1+318,94670486117i</v>
      </c>
      <c r="AH324">
        <f t="shared" si="281"/>
        <v>318.94827251734455</v>
      </c>
      <c r="AI324">
        <f t="shared" si="282"/>
        <v>1.56766101701419</v>
      </c>
      <c r="AJ324" t="str">
        <f t="shared" si="264"/>
        <v>1+1,09076616910411i</v>
      </c>
      <c r="AK324">
        <f t="shared" si="283"/>
        <v>1.4797874292147692</v>
      </c>
      <c r="AL324">
        <f t="shared" si="284"/>
        <v>0.8287837955074161</v>
      </c>
      <c r="AM324" t="str">
        <f t="shared" si="265"/>
        <v>1-0,0906959522778352i</v>
      </c>
      <c r="AN324">
        <f t="shared" si="285"/>
        <v>1.0041044546059854</v>
      </c>
      <c r="AO324">
        <f t="shared" si="286"/>
        <v>-9.0448491548120874E-2</v>
      </c>
      <c r="AP324" s="41" t="str">
        <f t="shared" si="287"/>
        <v>0,538855336018097-0,588404995121728i</v>
      </c>
      <c r="AQ324">
        <f t="shared" si="288"/>
        <v>-1.9614325005924218</v>
      </c>
      <c r="AR324" s="43">
        <f t="shared" si="289"/>
        <v>-47.516863199722977</v>
      </c>
      <c r="AS324" t="str">
        <f t="shared" si="266"/>
        <v>-0,0000166666666666667</v>
      </c>
      <c r="AT324" t="str">
        <f t="shared" si="267"/>
        <v>0,000110591569923055i</v>
      </c>
      <c r="AU324">
        <f t="shared" si="290"/>
        <v>1.10591569923055E-4</v>
      </c>
      <c r="AV324">
        <f t="shared" si="291"/>
        <v>1.5707963267948966</v>
      </c>
      <c r="AW324" t="str">
        <f t="shared" si="268"/>
        <v>1+0,512466632736918i</v>
      </c>
      <c r="AX324">
        <f t="shared" si="292"/>
        <v>1.1236645627894097</v>
      </c>
      <c r="AY324">
        <f t="shared" si="293"/>
        <v>0.47357110279097236</v>
      </c>
      <c r="AZ324" t="str">
        <f t="shared" si="269"/>
        <v>1+23,806404484415i</v>
      </c>
      <c r="BA324">
        <f t="shared" si="294"/>
        <v>23.827397979543942</v>
      </c>
      <c r="BB324">
        <f t="shared" si="295"/>
        <v>1.5288155031708994</v>
      </c>
      <c r="BC324" s="41" t="str">
        <f t="shared" si="296"/>
        <v>-2,78032951170136+1,57553077833642i</v>
      </c>
      <c r="BD324">
        <f t="shared" si="297"/>
        <v>10.091333209498893</v>
      </c>
      <c r="BE324" s="43">
        <f t="shared" si="298"/>
        <v>150.46105049658311</v>
      </c>
      <c r="BF324" s="41" t="str">
        <f t="shared" si="299"/>
        <v>0,00221877048823088+0,834447949867879i</v>
      </c>
      <c r="BG324" s="20">
        <f t="shared" si="300"/>
        <v>-1.571984255170777</v>
      </c>
      <c r="BH324" s="43">
        <f t="shared" si="301"/>
        <v>89.847652708468587</v>
      </c>
      <c r="BI324" s="41" t="str">
        <f t="shared" si="306"/>
        <v>-0,571145213327694+2,48494293973676i</v>
      </c>
      <c r="BJ324" s="20">
        <f t="shared" si="302"/>
        <v>8.1299007089064723</v>
      </c>
      <c r="BK324" s="43">
        <f t="shared" si="307"/>
        <v>102.94418729686012</v>
      </c>
      <c r="BL324">
        <f t="shared" si="303"/>
        <v>-1.571984255170777</v>
      </c>
      <c r="BM324" s="43">
        <f t="shared" si="304"/>
        <v>89.847652708468587</v>
      </c>
    </row>
    <row r="325" spans="14:65" x14ac:dyDescent="0.25">
      <c r="N325" s="9">
        <v>7</v>
      </c>
      <c r="O325" s="34">
        <f t="shared" si="308"/>
        <v>11748.975549395318</v>
      </c>
      <c r="P325" s="33" t="str">
        <f t="shared" si="257"/>
        <v>54,631621870174</v>
      </c>
      <c r="Q325" s="4" t="str">
        <f t="shared" si="258"/>
        <v>1+329,529531356371i</v>
      </c>
      <c r="R325" s="4">
        <f t="shared" si="270"/>
        <v>329.53104866757172</v>
      </c>
      <c r="S325" s="4">
        <f t="shared" si="271"/>
        <v>1.5677617067223271</v>
      </c>
      <c r="T325" s="4" t="str">
        <f t="shared" si="259"/>
        <v>1+1,11617337706116i</v>
      </c>
      <c r="U325" s="4">
        <f t="shared" si="272"/>
        <v>1.4986136952731062</v>
      </c>
      <c r="V325" s="4">
        <f t="shared" si="273"/>
        <v>0.8402409669789167</v>
      </c>
      <c r="W325" t="str">
        <f t="shared" si="260"/>
        <v>1-0,293758735108087i</v>
      </c>
      <c r="X325" s="4">
        <f t="shared" si="274"/>
        <v>1.0422543808746036</v>
      </c>
      <c r="Y325" s="4">
        <f t="shared" si="275"/>
        <v>-0.28572107347303904</v>
      </c>
      <c r="Z325" t="str">
        <f t="shared" si="261"/>
        <v>0,999447846294159+0,0403600742706805i</v>
      </c>
      <c r="AA325" s="4">
        <f t="shared" si="276"/>
        <v>1.000262432093282</v>
      </c>
      <c r="AB325" s="4">
        <f t="shared" si="277"/>
        <v>4.0360442004796951E-2</v>
      </c>
      <c r="AC325" s="47" t="str">
        <f t="shared" si="278"/>
        <v>0,128001065087415-0,225020415280487i</v>
      </c>
      <c r="AD325" s="20">
        <f t="shared" si="279"/>
        <v>-11.738055562093692</v>
      </c>
      <c r="AE325" s="43">
        <f t="shared" si="280"/>
        <v>-60.366962509642853</v>
      </c>
      <c r="AF325" t="str">
        <f t="shared" si="262"/>
        <v>171,265703090588</v>
      </c>
      <c r="AG325" t="str">
        <f t="shared" si="263"/>
        <v>1+326,375927995474i</v>
      </c>
      <c r="AH325">
        <f t="shared" si="281"/>
        <v>326.37745996760685</v>
      </c>
      <c r="AI325">
        <f t="shared" si="282"/>
        <v>1.5677323849261038</v>
      </c>
      <c r="AJ325" t="str">
        <f t="shared" si="264"/>
        <v>1+1,11617337706116i</v>
      </c>
      <c r="AK325">
        <f t="shared" si="283"/>
        <v>1.4986136952731062</v>
      </c>
      <c r="AL325">
        <f t="shared" si="284"/>
        <v>0.8402409669789167</v>
      </c>
      <c r="AM325" t="str">
        <f t="shared" si="265"/>
        <v>1-0,0928085323941386i</v>
      </c>
      <c r="AN325">
        <f t="shared" si="285"/>
        <v>1.0042974776853488</v>
      </c>
      <c r="AO325">
        <f t="shared" si="286"/>
        <v>-9.2543434687007819E-2</v>
      </c>
      <c r="AP325" s="41" t="str">
        <f t="shared" si="287"/>
        <v>0,538779801482149-0,577458053865585i</v>
      </c>
      <c r="AQ325">
        <f t="shared" si="288"/>
        <v>-2.0499537464847686</v>
      </c>
      <c r="AR325" s="43">
        <f t="shared" si="289"/>
        <v>-46.984536109571678</v>
      </c>
      <c r="AS325" t="str">
        <f t="shared" si="266"/>
        <v>-0,0000166666666666667</v>
      </c>
      <c r="AT325" t="str">
        <f t="shared" si="267"/>
        <v>0,00011316757850759i</v>
      </c>
      <c r="AU325">
        <f t="shared" si="290"/>
        <v>1.1316757850759E-4</v>
      </c>
      <c r="AV325">
        <f t="shared" si="291"/>
        <v>1.5707963267948966</v>
      </c>
      <c r="AW325" t="str">
        <f t="shared" si="268"/>
        <v>1+0,524403514057404i</v>
      </c>
      <c r="AX325">
        <f t="shared" si="292"/>
        <v>1.1291585564285265</v>
      </c>
      <c r="AY325">
        <f t="shared" si="293"/>
        <v>0.48297928388583744</v>
      </c>
      <c r="AZ325" t="str">
        <f t="shared" si="269"/>
        <v>1+24,3609268803031i</v>
      </c>
      <c r="BA325">
        <f t="shared" si="294"/>
        <v>24.381442911925337</v>
      </c>
      <c r="BB325">
        <f t="shared" si="295"/>
        <v>1.5297700189987762</v>
      </c>
      <c r="BC325" s="41" t="str">
        <f t="shared" si="296"/>
        <v>-2,75333958802189+1,59113517369673i</v>
      </c>
      <c r="BD325">
        <f t="shared" si="297"/>
        <v>10.048624009703932</v>
      </c>
      <c r="BE325" s="43">
        <f t="shared" si="298"/>
        <v>149.97669115536837</v>
      </c>
      <c r="BF325" s="41" t="str">
        <f t="shared" si="299"/>
        <v>0,00560749773848168+0,823224614436121i</v>
      </c>
      <c r="BG325" s="20">
        <f t="shared" si="300"/>
        <v>-1.6894315523897598</v>
      </c>
      <c r="BH325" s="43">
        <f t="shared" si="301"/>
        <v>89.609728645725525</v>
      </c>
      <c r="BI325" s="41" t="str">
        <f t="shared" si="306"/>
        <v>-0,564629935807382+2,44720961314578i</v>
      </c>
      <c r="BJ325" s="20">
        <f t="shared" si="302"/>
        <v>7.9986702632191609</v>
      </c>
      <c r="BK325" s="43">
        <f t="shared" si="307"/>
        <v>102.99215504579668</v>
      </c>
      <c r="BL325">
        <f t="shared" si="303"/>
        <v>-1.6894315523897598</v>
      </c>
      <c r="BM325" s="43">
        <f t="shared" si="304"/>
        <v>89.609728645725525</v>
      </c>
    </row>
    <row r="326" spans="14:65" x14ac:dyDescent="0.25">
      <c r="N326" s="9">
        <v>8</v>
      </c>
      <c r="O326" s="34">
        <f t="shared" si="308"/>
        <v>12022.644346174151</v>
      </c>
      <c r="P326" s="33" t="str">
        <f t="shared" si="257"/>
        <v>54,631621870174</v>
      </c>
      <c r="Q326" s="4" t="str">
        <f t="shared" si="258"/>
        <v>1+337,205260186535i</v>
      </c>
      <c r="R326" s="4">
        <f t="shared" si="270"/>
        <v>337.20674295966967</v>
      </c>
      <c r="S326" s="4">
        <f t="shared" si="271"/>
        <v>1.5678307826988136</v>
      </c>
      <c r="T326" s="4" t="str">
        <f t="shared" si="259"/>
        <v>1+1,14217239491703i</v>
      </c>
      <c r="U326" s="4">
        <f t="shared" si="272"/>
        <v>1.5180770005867634</v>
      </c>
      <c r="V326" s="4">
        <f t="shared" si="273"/>
        <v>0.85166930028975518</v>
      </c>
      <c r="W326" t="str">
        <f t="shared" si="260"/>
        <v>1-0,300601255057363i</v>
      </c>
      <c r="X326" s="4">
        <f t="shared" si="274"/>
        <v>1.0442035790697433</v>
      </c>
      <c r="Y326" s="4">
        <f t="shared" si="275"/>
        <v>-0.2920083132992955</v>
      </c>
      <c r="Z326" t="str">
        <f t="shared" si="261"/>
        <v>0,999421824091702+0,0413001811691181i</v>
      </c>
      <c r="AA326" s="4">
        <f t="shared" si="276"/>
        <v>1.000274805958536</v>
      </c>
      <c r="AB326" s="4">
        <f t="shared" si="277"/>
        <v>4.1300575073255838E-2</v>
      </c>
      <c r="AC326" s="47" t="str">
        <f t="shared" si="278"/>
        <v>0,127868430972981-0,222641703023776i</v>
      </c>
      <c r="AD326" s="20">
        <f t="shared" si="279"/>
        <v>-11.809850178205789</v>
      </c>
      <c r="AE326" s="43">
        <f t="shared" si="280"/>
        <v>-60.130222969815868</v>
      </c>
      <c r="AF326" t="str">
        <f t="shared" si="262"/>
        <v>171,265703090588</v>
      </c>
      <c r="AG326" t="str">
        <f t="shared" si="263"/>
        <v>1+333,978199966896i</v>
      </c>
      <c r="AH326">
        <f t="shared" si="281"/>
        <v>333.97969706724388</v>
      </c>
      <c r="AI326">
        <f t="shared" si="282"/>
        <v>1.5678021283361674</v>
      </c>
      <c r="AJ326" t="str">
        <f t="shared" si="264"/>
        <v>1+1,14217239491703i</v>
      </c>
      <c r="AK326">
        <f t="shared" si="283"/>
        <v>1.5180770005867634</v>
      </c>
      <c r="AL326">
        <f t="shared" si="284"/>
        <v>0.85166930028975518</v>
      </c>
      <c r="AM326" t="str">
        <f t="shared" si="265"/>
        <v>1-0,0949703208227833i</v>
      </c>
      <c r="AN326">
        <f t="shared" si="285"/>
        <v>1.0044995579079079</v>
      </c>
      <c r="AO326">
        <f t="shared" si="286"/>
        <v>-9.4686332187885122E-2</v>
      </c>
      <c r="AP326" s="41" t="str">
        <f t="shared" si="287"/>
        <v>0,538707666497938-0,566817267675324i</v>
      </c>
      <c r="AQ326">
        <f t="shared" si="288"/>
        <v>-2.1361222824156392</v>
      </c>
      <c r="AR326" s="43">
        <f t="shared" si="289"/>
        <v>-46.456515829766843</v>
      </c>
      <c r="AS326" t="str">
        <f t="shared" si="266"/>
        <v>-0,0000166666666666667</v>
      </c>
      <c r="AT326" t="str">
        <f t="shared" si="267"/>
        <v>0,000115803590040199i</v>
      </c>
      <c r="AU326">
        <f t="shared" si="290"/>
        <v>1.1580359004019899E-4</v>
      </c>
      <c r="AV326">
        <f t="shared" si="291"/>
        <v>1.5707963267948966</v>
      </c>
      <c r="AW326" t="str">
        <f t="shared" si="268"/>
        <v>1+0,536618441062343i</v>
      </c>
      <c r="AX326">
        <f t="shared" si="292"/>
        <v>1.1348829681020767</v>
      </c>
      <c r="AY326">
        <f t="shared" si="293"/>
        <v>0.4925114465461205</v>
      </c>
      <c r="AZ326" t="str">
        <f t="shared" si="269"/>
        <v>1+24,9283657620779i</v>
      </c>
      <c r="BA326">
        <f t="shared" si="294"/>
        <v>24.94841517146806</v>
      </c>
      <c r="BB326">
        <f t="shared" si="295"/>
        <v>1.5307028796776363</v>
      </c>
      <c r="BC326" s="41" t="str">
        <f t="shared" si="296"/>
        <v>-2,72563364931327+1,60654712765516i</v>
      </c>
      <c r="BD326">
        <f t="shared" si="297"/>
        <v>10.004372213801787</v>
      </c>
      <c r="BE326" s="43">
        <f t="shared" si="298"/>
        <v>149.48398744507421</v>
      </c>
      <c r="BF326" s="41" t="str">
        <f t="shared" si="299"/>
        <v>0,0091618903442523+0,812266377999431i</v>
      </c>
      <c r="BG326" s="20">
        <f t="shared" si="300"/>
        <v>-1.8054779644039998</v>
      </c>
      <c r="BH326" s="43">
        <f t="shared" si="301"/>
        <v>89.353764475258345</v>
      </c>
      <c r="BI326" s="41" t="str">
        <f t="shared" si="306"/>
        <v>-0,557701089660673+2,41039547204575i</v>
      </c>
      <c r="BJ326" s="20">
        <f t="shared" si="302"/>
        <v>7.8682499313861607</v>
      </c>
      <c r="BK326" s="43">
        <f t="shared" si="307"/>
        <v>103.02747161530735</v>
      </c>
      <c r="BL326">
        <f t="shared" si="303"/>
        <v>-1.8054779644039998</v>
      </c>
      <c r="BM326" s="43">
        <f t="shared" si="304"/>
        <v>89.353764475258345</v>
      </c>
    </row>
    <row r="327" spans="14:65" x14ac:dyDescent="0.25">
      <c r="N327" s="9">
        <v>9</v>
      </c>
      <c r="O327" s="34">
        <f t="shared" si="308"/>
        <v>12302.687708123816</v>
      </c>
      <c r="P327" s="33" t="str">
        <f t="shared" si="257"/>
        <v>54,631621870174</v>
      </c>
      <c r="Q327" s="4" t="str">
        <f t="shared" si="258"/>
        <v>1+345,05977970909i</v>
      </c>
      <c r="R327" s="4">
        <f t="shared" si="270"/>
        <v>345.06122873033087</v>
      </c>
      <c r="S327" s="4">
        <f t="shared" si="271"/>
        <v>1.5678982863414559</v>
      </c>
      <c r="T327" s="4" t="str">
        <f t="shared" si="259"/>
        <v>1+1,16877700769512i</v>
      </c>
      <c r="U327" s="4">
        <f t="shared" si="272"/>
        <v>1.5381936463647088</v>
      </c>
      <c r="V327" s="4">
        <f t="shared" si="273"/>
        <v>0.86306291488810383</v>
      </c>
      <c r="W327" t="str">
        <f t="shared" si="260"/>
        <v>1-0,307603157770999i</v>
      </c>
      <c r="X327" s="4">
        <f t="shared" si="274"/>
        <v>1.0462407479498637</v>
      </c>
      <c r="Y327" s="4">
        <f t="shared" si="275"/>
        <v>-0.2984174898877201</v>
      </c>
      <c r="Z327" t="str">
        <f t="shared" si="261"/>
        <v>0,999394575500625+0,0422621859702841i</v>
      </c>
      <c r="AA327" s="4">
        <f t="shared" si="276"/>
        <v>1.0002877635476011</v>
      </c>
      <c r="AB327" s="4">
        <f t="shared" si="277"/>
        <v>4.2262607900239328E-2</v>
      </c>
      <c r="AC327" s="47" t="str">
        <f t="shared" si="278"/>
        <v>0,127731632904665-0,220380753425i</v>
      </c>
      <c r="AD327" s="20">
        <f t="shared" si="279"/>
        <v>-11.878687664142353</v>
      </c>
      <c r="AE327" s="43">
        <f t="shared" si="280"/>
        <v>-59.903623803166937</v>
      </c>
      <c r="AF327" t="str">
        <f t="shared" si="262"/>
        <v>171,265703090588</v>
      </c>
      <c r="AG327" t="str">
        <f t="shared" si="263"/>
        <v>1+341,757551600665i</v>
      </c>
      <c r="AH327">
        <f t="shared" si="281"/>
        <v>341.75901462299606</v>
      </c>
      <c r="AI327">
        <f t="shared" si="282"/>
        <v>1.5678702842205443</v>
      </c>
      <c r="AJ327" t="str">
        <f t="shared" si="264"/>
        <v>1+1,16877700769512i</v>
      </c>
      <c r="AK327">
        <f t="shared" si="283"/>
        <v>1.5381936463647088</v>
      </c>
      <c r="AL327">
        <f t="shared" si="284"/>
        <v>0.86306291488810383</v>
      </c>
      <c r="AM327" t="str">
        <f t="shared" si="265"/>
        <v>1-0,097182463772609i</v>
      </c>
      <c r="AN327">
        <f t="shared" si="285"/>
        <v>1.0047111183145703</v>
      </c>
      <c r="AO327">
        <f t="shared" si="286"/>
        <v>-9.687824147830694E-2</v>
      </c>
      <c r="AP327" s="41" t="str">
        <f t="shared" si="287"/>
        <v>0,538638778065921-0,556476996056069i</v>
      </c>
      <c r="AQ327">
        <f t="shared" si="288"/>
        <v>-2.219947112919701</v>
      </c>
      <c r="AR327" s="43">
        <f t="shared" si="289"/>
        <v>-45.933201995823296</v>
      </c>
      <c r="AS327" t="str">
        <f t="shared" si="266"/>
        <v>-0,0000166666666666667</v>
      </c>
      <c r="AT327" t="str">
        <f t="shared" si="267"/>
        <v>0,000118501002169088i</v>
      </c>
      <c r="AU327">
        <f t="shared" si="290"/>
        <v>1.18501002169088E-4</v>
      </c>
      <c r="AV327">
        <f t="shared" si="291"/>
        <v>1.5707963267948966</v>
      </c>
      <c r="AW327" t="str">
        <f t="shared" si="268"/>
        <v>1+0,549117890267718i</v>
      </c>
      <c r="AX327">
        <f t="shared" si="292"/>
        <v>1.1408463776565492</v>
      </c>
      <c r="AY327">
        <f t="shared" si="293"/>
        <v>0.50216571511870545</v>
      </c>
      <c r="AZ327" t="str">
        <f t="shared" si="269"/>
        <v>1+25,5090219933458i</v>
      </c>
      <c r="BA327">
        <f t="shared" si="294"/>
        <v>25.528615376808037</v>
      </c>
      <c r="BB327">
        <f t="shared" si="295"/>
        <v>1.5316145733244373</v>
      </c>
      <c r="BC327" s="41" t="str">
        <f t="shared" si="296"/>
        <v>-2,69721336663837+1,62173390012164i</v>
      </c>
      <c r="BD327">
        <f t="shared" si="297"/>
        <v>9.958536375036509</v>
      </c>
      <c r="BE327" s="43">
        <f t="shared" si="298"/>
        <v>148.98307479974986</v>
      </c>
      <c r="BF327" s="41" t="str">
        <f t="shared" si="299"/>
        <v>0,0128794711506628+0,801560633087133i</v>
      </c>
      <c r="BG327" s="20">
        <f t="shared" si="300"/>
        <v>-1.9201512891058412</v>
      </c>
      <c r="BH327" s="43">
        <f t="shared" si="301"/>
        <v>89.079450996582906</v>
      </c>
      <c r="BI327" s="41" t="str">
        <f t="shared" si="306"/>
        <v>-0,550366102847177+2,3744659582988i</v>
      </c>
      <c r="BJ327" s="20">
        <f t="shared" si="302"/>
        <v>7.7385892621168173</v>
      </c>
      <c r="BK327" s="43">
        <f t="shared" si="307"/>
        <v>103.04987280392652</v>
      </c>
      <c r="BL327">
        <f t="shared" si="303"/>
        <v>-1.9201512891058412</v>
      </c>
      <c r="BM327" s="43">
        <f t="shared" si="304"/>
        <v>89.079450996582906</v>
      </c>
    </row>
    <row r="328" spans="14:65" x14ac:dyDescent="0.25">
      <c r="N328" s="9">
        <v>10</v>
      </c>
      <c r="O328" s="34">
        <f t="shared" si="308"/>
        <v>12589.254117941671</v>
      </c>
      <c r="P328" s="33" t="str">
        <f t="shared" si="257"/>
        <v>54,631621870174</v>
      </c>
      <c r="Q328" s="4" t="str">
        <f t="shared" si="258"/>
        <v>1+353,097254494252i</v>
      </c>
      <c r="R328" s="4">
        <f t="shared" si="270"/>
        <v>353.09867053187634</v>
      </c>
      <c r="S328" s="4">
        <f t="shared" si="271"/>
        <v>1.5679642534391172</v>
      </c>
      <c r="T328" s="4" t="str">
        <f t="shared" si="259"/>
        <v>1+1,19600132151328i</v>
      </c>
      <c r="U328" s="4">
        <f t="shared" si="272"/>
        <v>1.5589801669878653</v>
      </c>
      <c r="V328" s="4">
        <f t="shared" si="273"/>
        <v>0.87441602025615539</v>
      </c>
      <c r="W328" t="str">
        <f t="shared" si="260"/>
        <v>1-0,314768155750494i</v>
      </c>
      <c r="X328" s="4">
        <f t="shared" si="274"/>
        <v>1.0483696828288041</v>
      </c>
      <c r="Y328" s="4">
        <f t="shared" si="275"/>
        <v>-0.30494989450556276</v>
      </c>
      <c r="Z328" t="str">
        <f t="shared" si="261"/>
        <v>0,999366042723016+0,0432465987418576i</v>
      </c>
      <c r="AA328" s="4">
        <f t="shared" si="276"/>
        <v>1.0003013324246852</v>
      </c>
      <c r="AB328" s="4">
        <f t="shared" si="277"/>
        <v>4.3247050684216637E-2</v>
      </c>
      <c r="AC328" s="47" t="str">
        <f t="shared" si="278"/>
        <v>0,127590381517444-0,218236348165563i</v>
      </c>
      <c r="AD328" s="20">
        <f t="shared" si="279"/>
        <v>-11.944555846536414</v>
      </c>
      <c r="AE328" s="43">
        <f t="shared" si="280"/>
        <v>-59.687602048861258</v>
      </c>
      <c r="AF328" t="str">
        <f t="shared" si="262"/>
        <v>171,265703090588</v>
      </c>
      <c r="AG328" t="str">
        <f t="shared" si="263"/>
        <v>1+349,718107611989i</v>
      </c>
      <c r="AH328">
        <f t="shared" si="281"/>
        <v>349.71953733200371</v>
      </c>
      <c r="AI328">
        <f t="shared" si="282"/>
        <v>1.5679368887138523</v>
      </c>
      <c r="AJ328" t="str">
        <f t="shared" si="264"/>
        <v>1+1,19600132151328i</v>
      </c>
      <c r="AK328">
        <f t="shared" si="283"/>
        <v>1.5589801669878653</v>
      </c>
      <c r="AL328">
        <f t="shared" si="284"/>
        <v>0.87441602025615539</v>
      </c>
      <c r="AM328" t="str">
        <f t="shared" si="265"/>
        <v>1-0,099446134151089i</v>
      </c>
      <c r="AN328">
        <f t="shared" si="285"/>
        <v>1.0049326015199209</v>
      </c>
      <c r="AO328">
        <f t="shared" si="286"/>
        <v>-9.9120240443582502E-2</v>
      </c>
      <c r="AP328" s="41" t="str">
        <f t="shared" si="287"/>
        <v>0,538572990072182-0,546431757756917i</v>
      </c>
      <c r="AQ328">
        <f t="shared" si="288"/>
        <v>-2.301439350622307</v>
      </c>
      <c r="AR328" s="43">
        <f t="shared" si="289"/>
        <v>-45.414990208612743</v>
      </c>
      <c r="AS328" t="str">
        <f t="shared" si="266"/>
        <v>-0,0000166666666666667</v>
      </c>
      <c r="AT328" t="str">
        <f t="shared" si="267"/>
        <v>0,000121261245097874i</v>
      </c>
      <c r="AU328">
        <f t="shared" si="290"/>
        <v>1.2126124509787401E-4</v>
      </c>
      <c r="AV328">
        <f t="shared" si="291"/>
        <v>1.5707963267948966</v>
      </c>
      <c r="AW328" t="str">
        <f t="shared" si="268"/>
        <v>1+0,561908489046948i</v>
      </c>
      <c r="AX328">
        <f t="shared" si="292"/>
        <v>1.1470576053812747</v>
      </c>
      <c r="AY328">
        <f t="shared" si="293"/>
        <v>0.51194000904380921</v>
      </c>
      <c r="AZ328" t="str">
        <f t="shared" si="269"/>
        <v>1+26,1032034457264i</v>
      </c>
      <c r="BA328">
        <f t="shared" si="294"/>
        <v>26.122351160050322</v>
      </c>
      <c r="BB328">
        <f t="shared" si="295"/>
        <v>1.5325055772654701</v>
      </c>
      <c r="BC328" s="41" t="str">
        <f t="shared" si="296"/>
        <v>-2,66808205143591+1,63666225184233i</v>
      </c>
      <c r="BD328">
        <f t="shared" si="297"/>
        <v>9.9110752192696321</v>
      </c>
      <c r="BE328" s="43">
        <f t="shared" si="298"/>
        <v>148.4740997754719</v>
      </c>
      <c r="BF328" s="41" t="str">
        <f t="shared" si="299"/>
        <v>0,0167575861599447+0,791094844639219i</v>
      </c>
      <c r="BG328" s="20">
        <f t="shared" si="300"/>
        <v>-2.0334806272667789</v>
      </c>
      <c r="BH328" s="43">
        <f t="shared" si="301"/>
        <v>88.786497726610648</v>
      </c>
      <c r="BI328" s="41" t="str">
        <f t="shared" si="306"/>
        <v>-0,542632697071161+2,3393868479188i</v>
      </c>
      <c r="BJ328" s="20">
        <f t="shared" si="302"/>
        <v>7.6096358686473238</v>
      </c>
      <c r="BK328" s="43">
        <f t="shared" si="307"/>
        <v>103.05910956685915</v>
      </c>
      <c r="BL328">
        <f t="shared" si="303"/>
        <v>-2.0334806272667789</v>
      </c>
      <c r="BM328" s="43">
        <f t="shared" si="304"/>
        <v>88.786497726610648</v>
      </c>
    </row>
    <row r="329" spans="14:65" x14ac:dyDescent="0.25">
      <c r="N329" s="9">
        <v>11</v>
      </c>
      <c r="O329" s="34">
        <f t="shared" si="308"/>
        <v>12882.49551693136</v>
      </c>
      <c r="P329" s="33" t="str">
        <f t="shared" si="257"/>
        <v>54,631621870174</v>
      </c>
      <c r="Q329" s="4" t="str">
        <f t="shared" si="258"/>
        <v>1+361,321946117542i</v>
      </c>
      <c r="R329" s="4">
        <f t="shared" si="270"/>
        <v>361.32332992233967</v>
      </c>
      <c r="S329" s="4">
        <f t="shared" si="271"/>
        <v>1.5680287189661275</v>
      </c>
      <c r="T329" s="4" t="str">
        <f t="shared" si="259"/>
        <v>1+1,22385977106307i</v>
      </c>
      <c r="U329" s="4">
        <f t="shared" si="272"/>
        <v>1.5804533334542183</v>
      </c>
      <c r="V329" s="4">
        <f t="shared" si="273"/>
        <v>0.88572293009449443</v>
      </c>
      <c r="W329" t="str">
        <f t="shared" si="260"/>
        <v>1-0,322100047972618i</v>
      </c>
      <c r="X329" s="4">
        <f t="shared" si="274"/>
        <v>1.0505943274661076</v>
      </c>
      <c r="Y329" s="4">
        <f t="shared" si="275"/>
        <v>-0.31160675989283632</v>
      </c>
      <c r="Z329" t="str">
        <f t="shared" si="261"/>
        <v>0,999336165237025+0,0442539414325207i</v>
      </c>
      <c r="AA329" s="4">
        <f t="shared" si="276"/>
        <v>1.0003155414582718</v>
      </c>
      <c r="AB329" s="4">
        <f t="shared" si="277"/>
        <v>4.4254425513778298E-2</v>
      </c>
      <c r="AC329" s="47" t="str">
        <f t="shared" si="278"/>
        <v>0,127444378077167-0,216207329268799i</v>
      </c>
      <c r="AD329" s="20">
        <f t="shared" si="279"/>
        <v>-12.007443962860201</v>
      </c>
      <c r="AE329" s="43">
        <f t="shared" si="280"/>
        <v>-59.482586056010433</v>
      </c>
      <c r="AF329" t="str">
        <f t="shared" si="262"/>
        <v>171,265703090588</v>
      </c>
      <c r="AG329" t="str">
        <f t="shared" si="263"/>
        <v>1+357,864088793035i</v>
      </c>
      <c r="AH329">
        <f t="shared" si="281"/>
        <v>357.86548596877748</v>
      </c>
      <c r="AI329">
        <f t="shared" si="282"/>
        <v>1.5680019771283105</v>
      </c>
      <c r="AJ329" t="str">
        <f t="shared" si="264"/>
        <v>1+1,22385977106307i</v>
      </c>
      <c r="AK329">
        <f t="shared" si="283"/>
        <v>1.5804533334542183</v>
      </c>
      <c r="AL329">
        <f t="shared" si="284"/>
        <v>0.88572293009449443</v>
      </c>
      <c r="AM329" t="str">
        <f t="shared" si="265"/>
        <v>1-0,101762532186221i</v>
      </c>
      <c r="AN329">
        <f t="shared" si="285"/>
        <v>1.0051644706001859</v>
      </c>
      <c r="AO329">
        <f t="shared" si="286"/>
        <v>-0.10141342761538522</v>
      </c>
      <c r="AP329" s="41" t="str">
        <f t="shared" si="287"/>
        <v>0,53851016297859-0,536676227870916i</v>
      </c>
      <c r="AQ329">
        <f t="shared" si="288"/>
        <v>-2.3806121479681401</v>
      </c>
      <c r="AR329" s="43">
        <f t="shared" si="289"/>
        <v>-44.902271233562551</v>
      </c>
      <c r="AS329" t="str">
        <f t="shared" si="266"/>
        <v>-0,0000166666666666667</v>
      </c>
      <c r="AT329" t="str">
        <f t="shared" si="267"/>
        <v>0,000124085782343894i</v>
      </c>
      <c r="AU329">
        <f t="shared" si="290"/>
        <v>1.24085782343894E-4</v>
      </c>
      <c r="AV329">
        <f t="shared" si="291"/>
        <v>1.5707963267948966</v>
      </c>
      <c r="AW329" t="str">
        <f t="shared" si="268"/>
        <v>1+0,574997019144809i</v>
      </c>
      <c r="AX329">
        <f t="shared" si="292"/>
        <v>1.153525713638589</v>
      </c>
      <c r="AY329">
        <f t="shared" si="293"/>
        <v>0.52183203961974201</v>
      </c>
      <c r="AZ329" t="str">
        <f t="shared" si="269"/>
        <v>1+26,7112251620907i</v>
      </c>
      <c r="BA329">
        <f t="shared" si="294"/>
        <v>26.729937329891129</v>
      </c>
      <c r="BB329">
        <f t="shared" si="295"/>
        <v>1.5333763582607305</v>
      </c>
      <c r="BC329" s="41" t="str">
        <f t="shared" si="296"/>
        <v>-2,63824472759392+1,65129853762904i</v>
      </c>
      <c r="BD329">
        <f t="shared" si="297"/>
        <v>9.8619477391333916</v>
      </c>
      <c r="BE329" s="43">
        <f t="shared" si="298"/>
        <v>147.95722024856516</v>
      </c>
      <c r="BF329" s="41" t="str">
        <f t="shared" si="299"/>
        <v>0,0207933881226761+0,78085656165844i</v>
      </c>
      <c r="BG329" s="20">
        <f t="shared" si="300"/>
        <v>-2.1454962237268065</v>
      </c>
      <c r="BH329" s="43">
        <f t="shared" si="301"/>
        <v>88.474634192554745</v>
      </c>
      <c r="BI329" s="41" t="str">
        <f t="shared" si="306"/>
        <v>-0,534508927970495+2,30512427323036i</v>
      </c>
      <c r="BJ329" s="20">
        <f t="shared" si="302"/>
        <v>7.4813355911652559</v>
      </c>
      <c r="BK329" s="43">
        <f t="shared" si="307"/>
        <v>103.05494901500262</v>
      </c>
      <c r="BL329">
        <f t="shared" si="303"/>
        <v>-2.1454962237268065</v>
      </c>
      <c r="BM329" s="43">
        <f t="shared" si="304"/>
        <v>88.474634192554745</v>
      </c>
    </row>
    <row r="330" spans="14:65" x14ac:dyDescent="0.25">
      <c r="N330" s="9">
        <v>12</v>
      </c>
      <c r="O330" s="34">
        <f t="shared" si="308"/>
        <v>13182.567385564091</v>
      </c>
      <c r="P330" s="33" t="str">
        <f t="shared" si="257"/>
        <v>54,631621870174</v>
      </c>
      <c r="Q330" s="4" t="str">
        <f t="shared" si="258"/>
        <v>1+369,738215419325i</v>
      </c>
      <c r="R330" s="4">
        <f t="shared" si="270"/>
        <v>369.73956772499639</v>
      </c>
      <c r="S330" s="4">
        <f t="shared" si="271"/>
        <v>1.5680917171008184</v>
      </c>
      <c r="T330" s="4" t="str">
        <f t="shared" si="259"/>
        <v>1+1,25236712726316i</v>
      </c>
      <c r="U330" s="4">
        <f t="shared" si="272"/>
        <v>1.602630157412926</v>
      </c>
      <c r="V330" s="4">
        <f t="shared" si="273"/>
        <v>0.8969780758617889</v>
      </c>
      <c r="W330" t="str">
        <f t="shared" si="260"/>
        <v>1-0,329602721903675i</v>
      </c>
      <c r="X330" s="4">
        <f t="shared" si="274"/>
        <v>1.0529187785799583</v>
      </c>
      <c r="Y330" s="4">
        <f t="shared" si="275"/>
        <v>-0.3183892548441094</v>
      </c>
      <c r="Z330" t="str">
        <f t="shared" si="261"/>
        <v>0,9993048796685+0,0452847481487013i</v>
      </c>
      <c r="AA330" s="4">
        <f t="shared" si="276"/>
        <v>1.0003304208831032</v>
      </c>
      <c r="AB330" s="4">
        <f t="shared" si="277"/>
        <v>4.5285266645001883E-2</v>
      </c>
      <c r="AC330" s="47" t="str">
        <f t="shared" si="278"/>
        <v>0,127293313854354-0,214292598386055i</v>
      </c>
      <c r="AD330" s="20">
        <f t="shared" si="279"/>
        <v>-12.067342590503486</v>
      </c>
      <c r="AE330" s="43">
        <f t="shared" si="280"/>
        <v>-59.288994414419093</v>
      </c>
      <c r="AF330" t="str">
        <f t="shared" si="262"/>
        <v>171,265703090588</v>
      </c>
      <c r="AG330" t="str">
        <f t="shared" si="263"/>
        <v>1+366,19981425085i</v>
      </c>
      <c r="AH330">
        <f t="shared" si="281"/>
        <v>366.20117962310968</v>
      </c>
      <c r="AI330">
        <f t="shared" si="282"/>
        <v>1.5680655839724504</v>
      </c>
      <c r="AJ330" t="str">
        <f t="shared" si="264"/>
        <v>1+1,25236712726316i</v>
      </c>
      <c r="AK330">
        <f t="shared" si="283"/>
        <v>1.602630157412926</v>
      </c>
      <c r="AL330">
        <f t="shared" si="284"/>
        <v>0.8969780758617889</v>
      </c>
      <c r="AM330" t="str">
        <f t="shared" si="265"/>
        <v>1-0,104132886062905i</v>
      </c>
      <c r="AN330">
        <f t="shared" si="285"/>
        <v>1.0054072100197959</v>
      </c>
      <c r="AO330">
        <f t="shared" si="286"/>
        <v>-0.10375892234541978</v>
      </c>
      <c r="AP330" s="41" t="str">
        <f t="shared" si="287"/>
        <v>0,538450163526837-0,527205235017486i</v>
      </c>
      <c r="AQ330">
        <f t="shared" si="288"/>
        <v>-2.4574806203483943</v>
      </c>
      <c r="AR330" s="43">
        <f t="shared" si="289"/>
        <v>-44.395430235910474</v>
      </c>
      <c r="AS330" t="str">
        <f t="shared" si="266"/>
        <v>-0,0000166666666666667</v>
      </c>
      <c r="AT330" t="str">
        <f t="shared" si="267"/>
        <v>0,000126976111514182i</v>
      </c>
      <c r="AU330">
        <f t="shared" si="290"/>
        <v>1.26976111514182E-4</v>
      </c>
      <c r="AV330">
        <f t="shared" si="291"/>
        <v>1.5707963267948966</v>
      </c>
      <c r="AW330" t="str">
        <f t="shared" si="268"/>
        <v>1+0,588390420273206i</v>
      </c>
      <c r="AX330">
        <f t="shared" si="292"/>
        <v>1.1602600082176753</v>
      </c>
      <c r="AY330">
        <f t="shared" si="293"/>
        <v>0.53183930741229801</v>
      </c>
      <c r="AZ330" t="str">
        <f t="shared" si="269"/>
        <v>1+27,3334095236008i</v>
      </c>
      <c r="BA330">
        <f t="shared" si="294"/>
        <v>27.351696038543402</v>
      </c>
      <c r="BB330">
        <f t="shared" si="295"/>
        <v>1.5342273727245899</v>
      </c>
      <c r="BC330" s="41" t="str">
        <f t="shared" si="296"/>
        <v>-2,60770819799759+1,66560880783231i</v>
      </c>
      <c r="BD330">
        <f t="shared" si="297"/>
        <v>9.8111132921967599</v>
      </c>
      <c r="BE330" s="43">
        <f t="shared" si="298"/>
        <v>147.43260557667816</v>
      </c>
      <c r="BF330" s="41" t="str">
        <f t="shared" si="299"/>
        <v>0,0249838212368059+0,770833430315495i</v>
      </c>
      <c r="BG330" s="20">
        <f t="shared" si="300"/>
        <v>-2.2562292983067302</v>
      </c>
      <c r="BH330" s="43">
        <f t="shared" si="301"/>
        <v>88.143611162259077</v>
      </c>
      <c r="BI330" s="41" t="str">
        <f t="shared" si="306"/>
        <v>-0,526003222661648+2,27164474833139i</v>
      </c>
      <c r="BJ330" s="20">
        <f t="shared" si="302"/>
        <v>7.3536326718483611</v>
      </c>
      <c r="BK330" s="43">
        <f t="shared" si="307"/>
        <v>103.0371753407677</v>
      </c>
      <c r="BL330">
        <f t="shared" si="303"/>
        <v>-2.2562292983067302</v>
      </c>
      <c r="BM330" s="43">
        <f t="shared" si="304"/>
        <v>88.143611162259077</v>
      </c>
    </row>
    <row r="331" spans="14:65" x14ac:dyDescent="0.25">
      <c r="N331" s="9">
        <v>13</v>
      </c>
      <c r="O331" s="34">
        <f t="shared" si="308"/>
        <v>13489.628825916556</v>
      </c>
      <c r="P331" s="33" t="str">
        <f t="shared" si="257"/>
        <v>54,631621870174</v>
      </c>
      <c r="Q331" s="4" t="str">
        <f t="shared" si="258"/>
        <v>1+378,350524816988i</v>
      </c>
      <c r="R331" s="4">
        <f t="shared" si="270"/>
        <v>378.35184634053292</v>
      </c>
      <c r="S331" s="4">
        <f t="shared" si="271"/>
        <v>1.5681532812436334</v>
      </c>
      <c r="T331" s="4" t="str">
        <f t="shared" si="259"/>
        <v>1+1,28153850509117i</v>
      </c>
      <c r="U331" s="4">
        <f t="shared" si="272"/>
        <v>1.6255278958022563</v>
      </c>
      <c r="V331" s="4">
        <f t="shared" si="273"/>
        <v>0.90817601959605709</v>
      </c>
      <c r="W331" t="str">
        <f t="shared" si="260"/>
        <v>1-0,337280155560693i</v>
      </c>
      <c r="X331" s="4">
        <f t="shared" si="274"/>
        <v>1.0553472903907251</v>
      </c>
      <c r="Y331" s="4">
        <f t="shared" si="275"/>
        <v>-0.32529847858893196</v>
      </c>
      <c r="Z331" t="str">
        <f t="shared" si="261"/>
        <v>0,999272119656556+0,0463395654377649i</v>
      </c>
      <c r="AA331" s="4">
        <f t="shared" si="276"/>
        <v>1.0003460023651154</v>
      </c>
      <c r="AB331" s="4">
        <f t="shared" si="277"/>
        <v>4.634012078530847E-2</v>
      </c>
      <c r="AC331" s="47" t="str">
        <f t="shared" si="278"/>
        <v>0,127136869477534-0,212491116107025i</v>
      </c>
      <c r="AD331" s="20">
        <f t="shared" si="279"/>
        <v>-12.124243570366215</v>
      </c>
      <c r="AE331" s="43">
        <f t="shared" si="280"/>
        <v>-59.107234915304531</v>
      </c>
      <c r="AF331" t="str">
        <f t="shared" si="262"/>
        <v>171,265703090588</v>
      </c>
      <c r="AG331" t="str">
        <f t="shared" si="263"/>
        <v>1+374,729703697409i</v>
      </c>
      <c r="AH331">
        <f t="shared" si="281"/>
        <v>374.73103799011352</v>
      </c>
      <c r="AI331">
        <f t="shared" si="282"/>
        <v>1.5681277429694027</v>
      </c>
      <c r="AJ331" t="str">
        <f t="shared" si="264"/>
        <v>1+1,28153850509117i</v>
      </c>
      <c r="AK331">
        <f t="shared" si="283"/>
        <v>1.6255278958022563</v>
      </c>
      <c r="AL331">
        <f t="shared" si="284"/>
        <v>0.90817601959605709</v>
      </c>
      <c r="AM331" t="str">
        <f t="shared" si="265"/>
        <v>1-0,106558452574141i</v>
      </c>
      <c r="AN331">
        <f t="shared" si="285"/>
        <v>1.0056613265980727</v>
      </c>
      <c r="AO331">
        <f t="shared" si="286"/>
        <v>-0.10615786496255987</v>
      </c>
      <c r="AP331" s="41" t="str">
        <f t="shared" si="287"/>
        <v>0,538392864455879-0,5180137586059i</v>
      </c>
      <c r="AQ331">
        <f t="shared" si="288"/>
        <v>-2.5320617612057772</v>
      </c>
      <c r="AR331" s="43">
        <f t="shared" si="289"/>
        <v>-43.894846056152346</v>
      </c>
      <c r="AS331" t="str">
        <f t="shared" si="266"/>
        <v>-0,0000166666666666667</v>
      </c>
      <c r="AT331" t="str">
        <f t="shared" si="267"/>
        <v>0,000129933765099522i</v>
      </c>
      <c r="AU331">
        <f t="shared" si="290"/>
        <v>1.29933765099522E-4</v>
      </c>
      <c r="AV331">
        <f t="shared" si="291"/>
        <v>1.5707963267948966</v>
      </c>
      <c r="AW331" t="str">
        <f t="shared" si="268"/>
        <v>1+0,602095793790699i</v>
      </c>
      <c r="AX331">
        <f t="shared" si="292"/>
        <v>1.1672700394083848</v>
      </c>
      <c r="AY331">
        <f t="shared" si="293"/>
        <v>0.54195910036189099</v>
      </c>
      <c r="AZ331" t="str">
        <f t="shared" si="269"/>
        <v>1+27,9700864206407i</v>
      </c>
      <c r="BA331">
        <f t="shared" si="294"/>
        <v>27.98795695255567</v>
      </c>
      <c r="BB331">
        <f t="shared" si="295"/>
        <v>1.5350590669427544</v>
      </c>
      <c r="BC331" s="41" t="str">
        <f t="shared" si="296"/>
        <v>-2,57648110462261+1,67955891779195i</v>
      </c>
      <c r="BD331">
        <f t="shared" si="297"/>
        <v>9.7585317028016121</v>
      </c>
      <c r="BE331" s="43">
        <f t="shared" si="298"/>
        <v>146.90043671966663</v>
      </c>
      <c r="BF331" s="41" t="str">
        <f t="shared" si="299"/>
        <v>0,0293256070993812+0,761013208461062i</v>
      </c>
      <c r="BG331" s="20">
        <f t="shared" si="300"/>
        <v>-2.36571186756461</v>
      </c>
      <c r="BH331" s="43">
        <f t="shared" si="301"/>
        <v>87.793201804362127</v>
      </c>
      <c r="BI331" s="41" t="str">
        <f t="shared" si="306"/>
        <v>-0,517124414328748+2,23891519775506i</v>
      </c>
      <c r="BJ331" s="20">
        <f t="shared" si="302"/>
        <v>7.2264699415958216</v>
      </c>
      <c r="BK331" s="43">
        <f t="shared" si="307"/>
        <v>103.00559066351433</v>
      </c>
      <c r="BL331">
        <f t="shared" si="303"/>
        <v>-2.36571186756461</v>
      </c>
      <c r="BM331" s="43">
        <f t="shared" si="304"/>
        <v>87.793201804362127</v>
      </c>
    </row>
    <row r="332" spans="14:65" x14ac:dyDescent="0.25">
      <c r="N332" s="9">
        <v>14</v>
      </c>
      <c r="O332" s="34">
        <f t="shared" si="308"/>
        <v>13803.842646028841</v>
      </c>
      <c r="P332" s="33" t="str">
        <f t="shared" si="257"/>
        <v>54,631621870174</v>
      </c>
      <c r="Q332" s="4" t="str">
        <f t="shared" si="258"/>
        <v>1+387,163440670968i</v>
      </c>
      <c r="R332" s="4">
        <f t="shared" si="270"/>
        <v>387.16473211306601</v>
      </c>
      <c r="S332" s="4">
        <f t="shared" si="271"/>
        <v>1.5682134440348281</v>
      </c>
      <c r="T332" s="4" t="str">
        <f t="shared" si="259"/>
        <v>1+1,31138937159775i</v>
      </c>
      <c r="U332" s="4">
        <f t="shared" si="272"/>
        <v>1.6491640561022247</v>
      </c>
      <c r="V332" s="4">
        <f t="shared" si="273"/>
        <v>0.91931146595151458</v>
      </c>
      <c r="W332" t="str">
        <f t="shared" si="260"/>
        <v>1-0,345136419620619i</v>
      </c>
      <c r="X332" s="4">
        <f t="shared" si="274"/>
        <v>1.0578842791858381</v>
      </c>
      <c r="Y332" s="4">
        <f t="shared" si="275"/>
        <v>-0.33233545497800238</v>
      </c>
      <c r="Z332" t="str">
        <f t="shared" si="261"/>
        <v>0,999237815712815+0,0474189525778002i</v>
      </c>
      <c r="AA332" s="4">
        <f t="shared" si="276"/>
        <v>1.0003623190694926</v>
      </c>
      <c r="AB332" s="4">
        <f t="shared" si="277"/>
        <v>4.7419547383956262E-2</v>
      </c>
      <c r="AC332" s="47" t="str">
        <f t="shared" si="278"/>
        <v>0,126974714264777-0,210801901293436i</v>
      </c>
      <c r="AD332" s="20">
        <f t="shared" si="279"/>
        <v>-12.178139925806713</v>
      </c>
      <c r="AE332" s="43">
        <f t="shared" si="280"/>
        <v>-58.937703546185347</v>
      </c>
      <c r="AF332" t="str">
        <f t="shared" si="262"/>
        <v>171,265703090588</v>
      </c>
      <c r="AG332" t="str">
        <f t="shared" si="263"/>
        <v>1+383,458279793001i</v>
      </c>
      <c r="AH332">
        <f t="shared" si="281"/>
        <v>383.45958371360007</v>
      </c>
      <c r="AI332">
        <f t="shared" si="282"/>
        <v>1.5681884870747682</v>
      </c>
      <c r="AJ332" t="str">
        <f t="shared" si="264"/>
        <v>1+1,31138937159775i</v>
      </c>
      <c r="AK332">
        <f t="shared" si="283"/>
        <v>1.6491640561022247</v>
      </c>
      <c r="AL332">
        <f t="shared" si="284"/>
        <v>0.91931146595151458</v>
      </c>
      <c r="AM332" t="str">
        <f t="shared" si="265"/>
        <v>1-0,109040517787399i</v>
      </c>
      <c r="AN332">
        <f t="shared" si="285"/>
        <v>1.0059273505175927</v>
      </c>
      <c r="AO332">
        <f t="shared" si="286"/>
        <v>-0.10861141691177212</v>
      </c>
      <c r="AP332" s="41" t="str">
        <f t="shared" si="287"/>
        <v>0,538338144232029-0,509096926178333i</v>
      </c>
      <c r="AQ332">
        <f t="shared" si="288"/>
        <v>-2.6043743497546985</v>
      </c>
      <c r="AR332" s="43">
        <f t="shared" si="289"/>
        <v>-43.400890529364055</v>
      </c>
      <c r="AS332" t="str">
        <f t="shared" si="266"/>
        <v>-0,0000166666666666667</v>
      </c>
      <c r="AT332" t="str">
        <f t="shared" si="267"/>
        <v>0,000132960311286994i</v>
      </c>
      <c r="AU332">
        <f t="shared" si="290"/>
        <v>1.3296031128699401E-4</v>
      </c>
      <c r="AV332">
        <f t="shared" si="291"/>
        <v>1.5707963267948966</v>
      </c>
      <c r="AW332" t="str">
        <f t="shared" si="268"/>
        <v>1+0,61612040646774i</v>
      </c>
      <c r="AX332">
        <f t="shared" si="292"/>
        <v>1.1745656027936342</v>
      </c>
      <c r="AY332">
        <f t="shared" si="293"/>
        <v>0.55218849263946523</v>
      </c>
      <c r="AZ332" t="str">
        <f t="shared" si="269"/>
        <v>1+28,6215934277286i</v>
      </c>
      <c r="BA332">
        <f t="shared" si="294"/>
        <v>28.639057427614425</v>
      </c>
      <c r="BB332">
        <f t="shared" si="295"/>
        <v>1.5358718772855149</v>
      </c>
      <c r="BC332" s="41" t="str">
        <f t="shared" si="296"/>
        <v>-2,54457398124261+1,69311464489012i</v>
      </c>
      <c r="BD332">
        <f t="shared" si="297"/>
        <v>9.7041633671720469</v>
      </c>
      <c r="BE332" s="43">
        <f t="shared" si="298"/>
        <v>146.36090631736261</v>
      </c>
      <c r="BF332" s="41" t="str">
        <f t="shared" si="299"/>
        <v>0,0338152320567316+0,751383781480182i</v>
      </c>
      <c r="BG332" s="20">
        <f t="shared" si="300"/>
        <v>-2.4739765586346723</v>
      </c>
      <c r="BH332" s="43">
        <f t="shared" si="301"/>
        <v>87.423202771177301</v>
      </c>
      <c r="BI332" s="41" t="str">
        <f t="shared" si="306"/>
        <v>-0,507881773542172+2,20690298818619i</v>
      </c>
      <c r="BJ332" s="20">
        <f t="shared" si="302"/>
        <v>7.0997890174173346</v>
      </c>
      <c r="BK332" s="43">
        <f t="shared" si="307"/>
        <v>102.96001578799859</v>
      </c>
      <c r="BL332">
        <f t="shared" si="303"/>
        <v>-2.4739765586346723</v>
      </c>
      <c r="BM332" s="43">
        <f t="shared" si="304"/>
        <v>87.423202771177301</v>
      </c>
    </row>
    <row r="333" spans="14:65" x14ac:dyDescent="0.25">
      <c r="N333" s="9">
        <v>15</v>
      </c>
      <c r="O333" s="34">
        <f t="shared" si="308"/>
        <v>14125.375446227561</v>
      </c>
      <c r="P333" s="33" t="str">
        <f t="shared" si="257"/>
        <v>54,631621870174</v>
      </c>
      <c r="Q333" s="4" t="str">
        <f t="shared" si="258"/>
        <v>1+396,181635705908i</v>
      </c>
      <c r="R333" s="4">
        <f t="shared" si="270"/>
        <v>396.1828977512896</v>
      </c>
      <c r="S333" s="4">
        <f t="shared" si="271"/>
        <v>1.5682722373717675</v>
      </c>
      <c r="T333" s="4" t="str">
        <f t="shared" si="259"/>
        <v>1+1,34193555410744i</v>
      </c>
      <c r="U333" s="4">
        <f t="shared" si="272"/>
        <v>1.6735564022098692</v>
      </c>
      <c r="V333" s="4">
        <f t="shared" si="273"/>
        <v>0.93037927339381299</v>
      </c>
      <c r="W333" t="str">
        <f t="shared" si="260"/>
        <v>1-0,35317567957865i</v>
      </c>
      <c r="X333" s="4">
        <f t="shared" si="274"/>
        <v>1.0605343278960098</v>
      </c>
      <c r="Y333" s="4">
        <f t="shared" si="275"/>
        <v>-0.33950112648414416</v>
      </c>
      <c r="Z333" t="str">
        <f t="shared" si="261"/>
        <v>0,999201895074012+0,0485234818741564i</v>
      </c>
      <c r="AA333" s="4">
        <f t="shared" si="276"/>
        <v>1.0003794057319895</v>
      </c>
      <c r="AB333" s="4">
        <f t="shared" si="277"/>
        <v>4.8524118929332082E-2</v>
      </c>
      <c r="AC333" s="47" t="str">
        <f t="shared" si="278"/>
        <v>0,126806505532103-0,2092240304352i</v>
      </c>
      <c r="AD333" s="20">
        <f t="shared" si="279"/>
        <v>-12.229025777834856</v>
      </c>
      <c r="AE333" s="43">
        <f t="shared" si="280"/>
        <v>-58.780783523747701</v>
      </c>
      <c r="AF333" t="str">
        <f t="shared" si="262"/>
        <v>171,265703090588</v>
      </c>
      <c r="AG333" t="str">
        <f t="shared" si="263"/>
        <v>1+392,390170544212i</v>
      </c>
      <c r="AH333">
        <f t="shared" si="281"/>
        <v>392.39144478405211</v>
      </c>
      <c r="AI333">
        <f t="shared" si="282"/>
        <v>1.5682478484940812</v>
      </c>
      <c r="AJ333" t="str">
        <f t="shared" si="264"/>
        <v>1+1,34193555410744i</v>
      </c>
      <c r="AK333">
        <f t="shared" si="283"/>
        <v>1.6735564022098692</v>
      </c>
      <c r="AL333">
        <f t="shared" si="284"/>
        <v>0.93037927339381299</v>
      </c>
      <c r="AM333" t="str">
        <f t="shared" si="265"/>
        <v>1-0,111580397726511i</v>
      </c>
      <c r="AN333">
        <f t="shared" si="285"/>
        <v>1.0062058363758413</v>
      </c>
      <c r="AO333">
        <f t="shared" si="286"/>
        <v>-0.11112076087301824</v>
      </c>
      <c r="AP333" s="41" t="str">
        <f t="shared" si="287"/>
        <v>0,538285886791199-0,500450010831107i</v>
      </c>
      <c r="AQ333">
        <f t="shared" si="288"/>
        <v>-2.6744388519970603</v>
      </c>
      <c r="AR333" s="43">
        <f t="shared" si="289"/>
        <v>-42.91392785157533</v>
      </c>
      <c r="AS333" t="str">
        <f t="shared" si="266"/>
        <v>-0,0000166666666666667</v>
      </c>
      <c r="AT333" t="str">
        <f t="shared" si="267"/>
        <v>0,000136057354791449i</v>
      </c>
      <c r="AU333">
        <f t="shared" si="290"/>
        <v>1.3605735479144899E-4</v>
      </c>
      <c r="AV333">
        <f t="shared" si="291"/>
        <v>1.5707963267948966</v>
      </c>
      <c r="AW333" t="str">
        <f t="shared" si="268"/>
        <v>1+0,630471694339609i</v>
      </c>
      <c r="AX333">
        <f t="shared" si="292"/>
        <v>1.1821567397614656</v>
      </c>
      <c r="AY333">
        <f t="shared" si="293"/>
        <v>0.5625243442993737</v>
      </c>
      <c r="AZ333" t="str">
        <f t="shared" si="269"/>
        <v>1+29,2882759825037i</v>
      </c>
      <c r="BA333">
        <f t="shared" si="294"/>
        <v>29.305342687423106</v>
      </c>
      <c r="BB333">
        <f t="shared" si="295"/>
        <v>1.5366662304172858</v>
      </c>
      <c r="BC333" s="41" t="str">
        <f t="shared" si="296"/>
        <v>-2,51199929783039+1,7062418127196i</v>
      </c>
      <c r="BD333">
        <f t="shared" si="297"/>
        <v>9.6479693613476094</v>
      </c>
      <c r="BE333" s="43">
        <f t="shared" si="298"/>
        <v>145.81421872147024</v>
      </c>
      <c r="BF333" s="41" t="str">
        <f t="shared" si="299"/>
        <v>0,0384489360972882+0,7419331794062i</v>
      </c>
      <c r="BG333" s="20">
        <f t="shared" si="300"/>
        <v>-2.5810564164872476</v>
      </c>
      <c r="BH333" s="43">
        <f t="shared" si="301"/>
        <v>87.03343519772254</v>
      </c>
      <c r="BI333" s="41" t="str">
        <f t="shared" si="306"/>
        <v>-0,498285035995489+2,17557596304694i</v>
      </c>
      <c r="BJ333" s="20">
        <f t="shared" si="302"/>
        <v>6.9735305093505282</v>
      </c>
      <c r="BK333" s="43">
        <f t="shared" si="307"/>
        <v>102.90029086989492</v>
      </c>
      <c r="BL333">
        <f t="shared" si="303"/>
        <v>-2.5810564164872476</v>
      </c>
      <c r="BM333" s="43">
        <f t="shared" si="304"/>
        <v>87.03343519772254</v>
      </c>
    </row>
    <row r="334" spans="14:65" x14ac:dyDescent="0.25">
      <c r="N334" s="9">
        <v>16</v>
      </c>
      <c r="O334" s="34">
        <f t="shared" si="308"/>
        <v>14454.397707459291</v>
      </c>
      <c r="P334" s="33" t="str">
        <f t="shared" si="257"/>
        <v>54,631621870174</v>
      </c>
      <c r="Q334" s="4" t="str">
        <f t="shared" si="258"/>
        <v>1+405,409891488182i</v>
      </c>
      <c r="R334" s="4">
        <f t="shared" si="270"/>
        <v>405.41112480599179</v>
      </c>
      <c r="S334" s="4">
        <f t="shared" si="271"/>
        <v>1.5683296924258305</v>
      </c>
      <c r="T334" s="4" t="str">
        <f t="shared" si="259"/>
        <v>1+1,37319324861053i</v>
      </c>
      <c r="U334" s="4">
        <f t="shared" si="272"/>
        <v>1.698722960941407</v>
      </c>
      <c r="V334" s="4">
        <f t="shared" si="273"/>
        <v>0.94137446450525231</v>
      </c>
      <c r="W334" t="str">
        <f t="shared" si="260"/>
        <v>1-0,361402197956825i</v>
      </c>
      <c r="X334" s="4">
        <f t="shared" si="274"/>
        <v>1.0633021906720705</v>
      </c>
      <c r="Y334" s="4">
        <f t="shared" si="275"/>
        <v>-0.34679634802920961</v>
      </c>
      <c r="Z334" t="str">
        <f t="shared" si="261"/>
        <v>0,999164281547658+0,0496537389628864i</v>
      </c>
      <c r="AA334" s="4">
        <f t="shared" si="276"/>
        <v>1.0003972987336793</v>
      </c>
      <c r="AB334" s="4">
        <f t="shared" si="277"/>
        <v>4.9654421253197696E-2</v>
      </c>
      <c r="AC334" s="47" t="str">
        <f t="shared" si="278"/>
        <v>0,126631887877386-0,207756637028111i</v>
      </c>
      <c r="AD334" s="20">
        <f t="shared" si="279"/>
        <v>-12.276896257479979</v>
      </c>
      <c r="AE334" s="43">
        <f t="shared" si="280"/>
        <v>-58.636844368108434</v>
      </c>
      <c r="AF334" t="str">
        <f t="shared" si="262"/>
        <v>171,265703090588</v>
      </c>
      <c r="AG334" t="str">
        <f t="shared" si="263"/>
        <v>1+401,530111757742i</v>
      </c>
      <c r="AH334">
        <f t="shared" si="281"/>
        <v>401.53135699243313</v>
      </c>
      <c r="AI334">
        <f t="shared" si="282"/>
        <v>1.5683058586998777</v>
      </c>
      <c r="AJ334" t="str">
        <f t="shared" si="264"/>
        <v>1+1,37319324861053i</v>
      </c>
      <c r="AK334">
        <f t="shared" si="283"/>
        <v>1.698722960941407</v>
      </c>
      <c r="AL334">
        <f t="shared" si="284"/>
        <v>0.94137446450525231</v>
      </c>
      <c r="AM334" t="str">
        <f t="shared" si="265"/>
        <v>1-0,114179439069438i</v>
      </c>
      <c r="AN334">
        <f t="shared" si="285"/>
        <v>1.0064973642818005</v>
      </c>
      <c r="AO334">
        <f t="shared" si="286"/>
        <v>-0.11368710085820266</v>
      </c>
      <c r="AP334" s="41" t="str">
        <f t="shared" si="287"/>
        <v>0,53823598129278-0,492068428712838i</v>
      </c>
      <c r="AQ334">
        <f t="shared" si="288"/>
        <v>-2.7422773157502318</v>
      </c>
      <c r="AR334" s="43">
        <f t="shared" si="289"/>
        <v>-42.434313995857735</v>
      </c>
      <c r="AS334" t="str">
        <f t="shared" si="266"/>
        <v>-0,0000166666666666667</v>
      </c>
      <c r="AT334" t="str">
        <f t="shared" si="267"/>
        <v>0,000139226537706346i</v>
      </c>
      <c r="AU334">
        <f t="shared" si="290"/>
        <v>1.39226537706346E-4</v>
      </c>
      <c r="AV334">
        <f t="shared" si="291"/>
        <v>1.5707963267948966</v>
      </c>
      <c r="AW334" t="str">
        <f t="shared" si="268"/>
        <v>1+0,645157266649095i</v>
      </c>
      <c r="AX334">
        <f t="shared" si="292"/>
        <v>1.1900537377404987</v>
      </c>
      <c r="AY334">
        <f t="shared" si="293"/>
        <v>0.57296330177385868</v>
      </c>
      <c r="AZ334" t="str">
        <f t="shared" si="269"/>
        <v>1+29,9704875688807i</v>
      </c>
      <c r="BA334">
        <f t="shared" si="294"/>
        <v>29.987166006750829</v>
      </c>
      <c r="BB334">
        <f t="shared" si="295"/>
        <v>1.5374425435024455</v>
      </c>
      <c r="BC334" s="41" t="str">
        <f t="shared" si="296"/>
        <v>-2,47877149575719+1,71890642176519i</v>
      </c>
      <c r="BD334">
        <f t="shared" si="297"/>
        <v>9.5899115514385702</v>
      </c>
      <c r="BE334" s="43">
        <f t="shared" si="298"/>
        <v>145.2605899790257</v>
      </c>
      <c r="BF334" s="41" t="str">
        <f t="shared" si="299"/>
        <v>0,0432227034275748+0,732649595192343i</v>
      </c>
      <c r="BG334" s="20">
        <f t="shared" si="300"/>
        <v>-2.6869847060414038</v>
      </c>
      <c r="BH334" s="43">
        <f t="shared" si="301"/>
        <v>86.623745610917297</v>
      </c>
      <c r="BI334" s="41" t="str">
        <f t="shared" si="306"/>
        <v>-0,488344426357039+2,14490247972466i</v>
      </c>
      <c r="BJ334" s="20">
        <f t="shared" si="302"/>
        <v>6.8476342356883411</v>
      </c>
      <c r="BK334" s="43">
        <f t="shared" si="307"/>
        <v>102.82627598316797</v>
      </c>
      <c r="BL334">
        <f t="shared" si="303"/>
        <v>-2.6869847060414038</v>
      </c>
      <c r="BM334" s="43">
        <f t="shared" si="304"/>
        <v>86.623745610917297</v>
      </c>
    </row>
    <row r="335" spans="14:65" x14ac:dyDescent="0.25">
      <c r="N335" s="9">
        <v>17</v>
      </c>
      <c r="O335" s="34">
        <f t="shared" si="308"/>
        <v>14791.083881682089</v>
      </c>
      <c r="P335" s="33" t="str">
        <f t="shared" si="257"/>
        <v>54,631621870174</v>
      </c>
      <c r="Q335" s="4" t="str">
        <f t="shared" si="258"/>
        <v>1+414,853100961158i</v>
      </c>
      <c r="R335" s="4">
        <f t="shared" si="270"/>
        <v>414.85430620530957</v>
      </c>
      <c r="S335" s="4">
        <f t="shared" si="271"/>
        <v>1.568385839658929</v>
      </c>
      <c r="T335" s="4" t="str">
        <f t="shared" si="259"/>
        <v>1+1,4051790283504i</v>
      </c>
      <c r="U335" s="4">
        <f t="shared" si="272"/>
        <v>1.7246820291624116</v>
      </c>
      <c r="V335" s="4">
        <f t="shared" si="273"/>
        <v>0.95229223536081631</v>
      </c>
      <c r="W335" t="str">
        <f t="shared" si="260"/>
        <v>1-0,369820336564081i</v>
      </c>
      <c r="X335" s="4">
        <f t="shared" si="274"/>
        <v>1.066192797450991</v>
      </c>
      <c r="Y335" s="4">
        <f t="shared" si="275"/>
        <v>-0.35422188065030452</v>
      </c>
      <c r="Z335" t="str">
        <f t="shared" si="261"/>
        <v>0,99912489535042+0,0508103231212595i</v>
      </c>
      <c r="AA335" s="4">
        <f t="shared" si="276"/>
        <v>1.0004160361792862</v>
      </c>
      <c r="AB335" s="4">
        <f t="shared" si="277"/>
        <v>5.0811053842057891E-2</v>
      </c>
      <c r="AC335" s="47" t="str">
        <f t="shared" si="278"/>
        <v>0,126450492438312-0,206398910972119i</v>
      </c>
      <c r="AD335" s="20">
        <f t="shared" si="279"/>
        <v>-12.321747416293011</v>
      </c>
      <c r="AE335" s="43">
        <f t="shared" si="280"/>
        <v>-58.506241021495939</v>
      </c>
      <c r="AF335" t="str">
        <f t="shared" si="262"/>
        <v>171,265703090588</v>
      </c>
      <c r="AG335" t="str">
        <f t="shared" si="263"/>
        <v>1+410,882949551405i</v>
      </c>
      <c r="AH335">
        <f t="shared" si="281"/>
        <v>410.88416644117893</v>
      </c>
      <c r="AI335">
        <f t="shared" si="282"/>
        <v>1.5683625484483741</v>
      </c>
      <c r="AJ335" t="str">
        <f t="shared" si="264"/>
        <v>1+1,4051790283504i</v>
      </c>
      <c r="AK335">
        <f t="shared" si="283"/>
        <v>1.7246820291624116</v>
      </c>
      <c r="AL335">
        <f t="shared" si="284"/>
        <v>0.95229223536081631</v>
      </c>
      <c r="AM335" t="str">
        <f t="shared" si="265"/>
        <v>1-0,116839019862303i</v>
      </c>
      <c r="AN335">
        <f t="shared" si="285"/>
        <v>1.0068025409991692</v>
      </c>
      <c r="AO335">
        <f t="shared" si="286"/>
        <v>-0.11631166228413659</v>
      </c>
      <c r="AP335" s="41" t="str">
        <f t="shared" si="287"/>
        <v>0,538188321884553-0,483947736598075i</v>
      </c>
      <c r="AQ335">
        <f t="shared" si="288"/>
        <v>-2.8079132604326045</v>
      </c>
      <c r="AR335" s="43">
        <f t="shared" si="289"/>
        <v>-41.962396180252327</v>
      </c>
      <c r="AS335" t="str">
        <f t="shared" si="266"/>
        <v>-0,0000166666666666667</v>
      </c>
      <c r="AT335" t="str">
        <f t="shared" si="267"/>
        <v>0,000142469540374416i</v>
      </c>
      <c r="AU335">
        <f t="shared" si="290"/>
        <v>1.42469540374416E-4</v>
      </c>
      <c r="AV335">
        <f t="shared" si="291"/>
        <v>1.5707963267948966</v>
      </c>
      <c r="AW335" t="str">
        <f t="shared" si="268"/>
        <v>1+0,660184909881025i</v>
      </c>
      <c r="AX335">
        <f t="shared" si="292"/>
        <v>1.1982671301653138</v>
      </c>
      <c r="AY335">
        <f t="shared" si="293"/>
        <v>0.58350179924944845</v>
      </c>
      <c r="AZ335" t="str">
        <f t="shared" si="269"/>
        <v>1+30,6685899044731i</v>
      </c>
      <c r="BA335">
        <f t="shared" si="294"/>
        <v>30.684888898751929</v>
      </c>
      <c r="BB335">
        <f t="shared" si="295"/>
        <v>1.5382012244074936</v>
      </c>
      <c r="BC335" s="41" t="str">
        <f t="shared" si="296"/>
        <v>-2,44490701293516+1,73107478588022i</v>
      </c>
      <c r="BD335">
        <f t="shared" si="297"/>
        <v>9.5299527056531623</v>
      </c>
      <c r="BE335" s="43">
        <f t="shared" si="298"/>
        <v>144.70024776512182</v>
      </c>
      <c r="BF335" s="41" t="str">
        <f t="shared" si="299"/>
        <v>0,048132254865438+0,723521404020013i</v>
      </c>
      <c r="BG335" s="20">
        <f t="shared" si="300"/>
        <v>-2.7917947106398477</v>
      </c>
      <c r="BH335" s="43">
        <f t="shared" si="301"/>
        <v>86.194006743625891</v>
      </c>
      <c r="BI335" s="41" t="str">
        <f t="shared" si="306"/>
        <v>-0,478070677946619+2,11485144917227i</v>
      </c>
      <c r="BJ335" s="20">
        <f t="shared" si="302"/>
        <v>6.7220394452205623</v>
      </c>
      <c r="BK335" s="43">
        <f t="shared" si="307"/>
        <v>102.73785158486949</v>
      </c>
      <c r="BL335">
        <f t="shared" si="303"/>
        <v>-2.7917947106398477</v>
      </c>
      <c r="BM335" s="43">
        <f t="shared" si="304"/>
        <v>86.194006743625891</v>
      </c>
    </row>
    <row r="336" spans="14:65" x14ac:dyDescent="0.25">
      <c r="N336" s="9">
        <v>18</v>
      </c>
      <c r="O336" s="34">
        <f t="shared" si="308"/>
        <v>15135.612484362096</v>
      </c>
      <c r="P336" s="33" t="str">
        <f t="shared" si="257"/>
        <v>54,631621870174</v>
      </c>
      <c r="Q336" s="4" t="str">
        <f t="shared" si="258"/>
        <v>1+424,516271039493i</v>
      </c>
      <c r="R336" s="4">
        <f t="shared" si="270"/>
        <v>424.51744884901524</v>
      </c>
      <c r="S336" s="4">
        <f t="shared" si="271"/>
        <v>1.5684407088396524</v>
      </c>
      <c r="T336" s="4" t="str">
        <f t="shared" si="259"/>
        <v>1+1,43790985261085i</v>
      </c>
      <c r="U336" s="4">
        <f t="shared" si="272"/>
        <v>1.7514521815440343</v>
      </c>
      <c r="V336" s="4">
        <f t="shared" si="273"/>
        <v>0.96312796394515821</v>
      </c>
      <c r="W336" t="str">
        <f t="shared" si="260"/>
        <v>1-0,378434558808934i</v>
      </c>
      <c r="X336" s="4">
        <f t="shared" si="274"/>
        <v>1.0692112584989519</v>
      </c>
      <c r="Y336" s="4">
        <f t="shared" si="275"/>
        <v>-0.36177838502103188</v>
      </c>
      <c r="Z336" t="str">
        <f t="shared" si="261"/>
        <v>0,999083652938893+0,0519938475855056i</v>
      </c>
      <c r="AA336" s="4">
        <f t="shared" si="276"/>
        <v>1.0004356579792961</v>
      </c>
      <c r="AB336" s="4">
        <f t="shared" si="277"/>
        <v>5.1994630155814604E-2</v>
      </c>
      <c r="AC336" s="47" t="str">
        <f t="shared" si="278"/>
        <v>0,126261936122925-0,205150097989186i</v>
      </c>
      <c r="AD336" s="20">
        <f t="shared" si="279"/>
        <v>-12.363576135959642</v>
      </c>
      <c r="AE336" s="43">
        <f t="shared" si="280"/>
        <v>-58.389313013969392</v>
      </c>
      <c r="AF336" t="str">
        <f t="shared" si="262"/>
        <v>171,265703090588</v>
      </c>
      <c r="AG336" t="str">
        <f t="shared" si="263"/>
        <v>1+420,453642923599i</v>
      </c>
      <c r="AH336">
        <f t="shared" si="281"/>
        <v>420.45483211365911</v>
      </c>
      <c r="AI336">
        <f t="shared" si="282"/>
        <v>1.5684179477957669</v>
      </c>
      <c r="AJ336" t="str">
        <f t="shared" si="264"/>
        <v>1+1,43790985261085i</v>
      </c>
      <c r="AK336">
        <f t="shared" si="283"/>
        <v>1.7514521815440343</v>
      </c>
      <c r="AL336">
        <f t="shared" si="284"/>
        <v>0.96312796394515821</v>
      </c>
      <c r="AM336" t="str">
        <f t="shared" si="265"/>
        <v>1-0,119560550250047i</v>
      </c>
      <c r="AN336">
        <f t="shared" si="285"/>
        <v>1.0071220011379427</v>
      </c>
      <c r="AO336">
        <f t="shared" si="286"/>
        <v>-0.11899569201931635</v>
      </c>
      <c r="AP336" s="41" t="str">
        <f t="shared" si="287"/>
        <v>0,538142807478205-0,476083629535295i</v>
      </c>
      <c r="AQ336">
        <f t="shared" si="288"/>
        <v>-2.8713715623660905</v>
      </c>
      <c r="AR336" s="43">
        <f t="shared" si="289"/>
        <v>-41.498512389127114</v>
      </c>
      <c r="AS336" t="str">
        <f t="shared" si="266"/>
        <v>-0,0000166666666666667</v>
      </c>
      <c r="AT336" t="str">
        <f t="shared" si="267"/>
        <v>0,0001457880822786i</v>
      </c>
      <c r="AU336">
        <f t="shared" si="290"/>
        <v>1.457880822786E-4</v>
      </c>
      <c r="AV336">
        <f t="shared" si="291"/>
        <v>1.5707963267948966</v>
      </c>
      <c r="AW336" t="str">
        <f t="shared" si="268"/>
        <v>1+0,675562591890754i</v>
      </c>
      <c r="AX336">
        <f t="shared" si="292"/>
        <v>1.2068076961811909</v>
      </c>
      <c r="AY336">
        <f t="shared" si="293"/>
        <v>0.594136060960473</v>
      </c>
      <c r="AZ336" t="str">
        <f t="shared" si="269"/>
        <v>1+31,3829531323796i</v>
      </c>
      <c r="BA336">
        <f t="shared" si="294"/>
        <v>31.398881306650633</v>
      </c>
      <c r="BB336">
        <f t="shared" si="295"/>
        <v>1.5389426718995376</v>
      </c>
      <c r="BC336" s="41" t="str">
        <f t="shared" si="296"/>
        <v>-2,41042429810267+1,7427136737265i</v>
      </c>
      <c r="BD336">
        <f t="shared" si="297"/>
        <v>9.4680566074976138</v>
      </c>
      <c r="BE336" s="43">
        <f t="shared" si="298"/>
        <v>144.13343126286722</v>
      </c>
      <c r="BF336" s="41" t="str">
        <f t="shared" si="299"/>
        <v>0,0531730421759002+0,714537183503881i</v>
      </c>
      <c r="BG336" s="20">
        <f t="shared" si="300"/>
        <v>-2.8955195284620272</v>
      </c>
      <c r="BH336" s="43">
        <f t="shared" si="301"/>
        <v>85.74411824889782</v>
      </c>
      <c r="BI336" s="41" t="str">
        <f t="shared" si="306"/>
        <v>-0,467475047966153+2,08539237757062i</v>
      </c>
      <c r="BJ336" s="20">
        <f t="shared" si="302"/>
        <v>6.5966850451315215</v>
      </c>
      <c r="BK336" s="43">
        <f t="shared" si="307"/>
        <v>102.63491887374012</v>
      </c>
      <c r="BL336">
        <f t="shared" si="303"/>
        <v>-2.8955195284620272</v>
      </c>
      <c r="BM336" s="43">
        <f t="shared" si="304"/>
        <v>85.74411824889782</v>
      </c>
    </row>
    <row r="337" spans="14:65" x14ac:dyDescent="0.25">
      <c r="N337" s="9">
        <v>19</v>
      </c>
      <c r="O337" s="34">
        <f t="shared" si="308"/>
        <v>15488.166189124853</v>
      </c>
      <c r="P337" s="33" t="str">
        <f t="shared" si="257"/>
        <v>54,631621870174</v>
      </c>
      <c r="Q337" s="4" t="str">
        <f t="shared" si="258"/>
        <v>1+434,404525263871i</v>
      </c>
      <c r="R337" s="4">
        <f t="shared" si="270"/>
        <v>434.40567626324719</v>
      </c>
      <c r="S337" s="4">
        <f t="shared" si="271"/>
        <v>1.5684943290590441</v>
      </c>
      <c r="T337" s="4" t="str">
        <f t="shared" si="259"/>
        <v>1+1,47140307570813i</v>
      </c>
      <c r="U337" s="4">
        <f t="shared" si="272"/>
        <v>1.7790522789404881</v>
      </c>
      <c r="V337" s="4">
        <f t="shared" si="273"/>
        <v>0.97387721758998147</v>
      </c>
      <c r="W337" t="str">
        <f t="shared" si="260"/>
        <v>1-0,387249432066042i</v>
      </c>
      <c r="X337" s="4">
        <f t="shared" si="274"/>
        <v>1.0723628689186659</v>
      </c>
      <c r="Y337" s="4">
        <f t="shared" si="275"/>
        <v>-0.36946641484601789</v>
      </c>
      <c r="Z337" t="str">
        <f t="shared" si="261"/>
        <v>0,999040466832392+0,0532049398759616i</v>
      </c>
      <c r="AA337" s="4">
        <f t="shared" si="276"/>
        <v>1.0004562059360163</v>
      </c>
      <c r="AB337" s="4">
        <f t="shared" si="277"/>
        <v>5.3205777953881539E-2</v>
      </c>
      <c r="AC337" s="47" t="str">
        <f t="shared" si="278"/>
        <v>0,126065820811238-0,204009499059701i</v>
      </c>
      <c r="AD337" s="20">
        <f t="shared" si="279"/>
        <v>-12.402380038007871</v>
      </c>
      <c r="AE337" s="43">
        <f t="shared" si="280"/>
        <v>-58.286383678411461</v>
      </c>
      <c r="AF337" t="str">
        <f t="shared" si="262"/>
        <v>171,265703090588</v>
      </c>
      <c r="AG337" t="str">
        <f t="shared" si="263"/>
        <v>1+430,247266382634i</v>
      </c>
      <c r="AH337">
        <f t="shared" si="281"/>
        <v>430.24842850349751</v>
      </c>
      <c r="AI337">
        <f t="shared" si="282"/>
        <v>1.5684720861141626</v>
      </c>
      <c r="AJ337" t="str">
        <f t="shared" si="264"/>
        <v>1+1,47140307570813i</v>
      </c>
      <c r="AK337">
        <f t="shared" si="283"/>
        <v>1.7790522789404881</v>
      </c>
      <c r="AL337">
        <f t="shared" si="284"/>
        <v>0.97387721758998147</v>
      </c>
      <c r="AM337" t="str">
        <f t="shared" si="265"/>
        <v>1-0,122345473224104i</v>
      </c>
      <c r="AN337">
        <f t="shared" si="285"/>
        <v>1.0074564083961299</v>
      </c>
      <c r="AO337">
        <f t="shared" si="286"/>
        <v>-0.12174045840220564</v>
      </c>
      <c r="AP337" s="41" t="str">
        <f t="shared" si="287"/>
        <v>0,538099341534928-0,468471938567902i</v>
      </c>
      <c r="AQ337">
        <f t="shared" si="288"/>
        <v>-2.9326783363656395</v>
      </c>
      <c r="AR337" s="43">
        <f t="shared" si="289"/>
        <v>-41.042990949005876</v>
      </c>
      <c r="AS337" t="str">
        <f t="shared" si="266"/>
        <v>-0,0000166666666666667</v>
      </c>
      <c r="AT337" t="str">
        <f t="shared" si="267"/>
        <v>0,000149183922953741i</v>
      </c>
      <c r="AU337">
        <f t="shared" si="290"/>
        <v>1.4918392295374099E-4</v>
      </c>
      <c r="AV337">
        <f t="shared" si="291"/>
        <v>1.5707963267948966</v>
      </c>
      <c r="AW337" t="str">
        <f t="shared" si="268"/>
        <v>1+0,691298466128833i</v>
      </c>
      <c r="AX337">
        <f t="shared" si="292"/>
        <v>1.2156864601006614</v>
      </c>
      <c r="AY337">
        <f t="shared" si="293"/>
        <v>0.60486210442912591</v>
      </c>
      <c r="AZ337" t="str">
        <f t="shared" si="269"/>
        <v>1+32,1139560174394i</v>
      </c>
      <c r="BA337">
        <f t="shared" si="294"/>
        <v>32.129521799896615</v>
      </c>
      <c r="BB337">
        <f t="shared" si="295"/>
        <v>1.5396672758411345</v>
      </c>
      <c r="BC337" s="41" t="str">
        <f t="shared" si="296"/>
        <v>-2,37534381352499+1,75379045423467i</v>
      </c>
      <c r="BD337">
        <f t="shared" si="297"/>
        <v>9.4041881695083482</v>
      </c>
      <c r="BE337" s="43">
        <f t="shared" si="298"/>
        <v>143.56039098891159</v>
      </c>
      <c r="BF337" s="41" t="str">
        <f t="shared" si="299"/>
        <v>0,0583402444631764+0,705685734635801i</v>
      </c>
      <c r="BG337" s="20">
        <f t="shared" si="300"/>
        <v>-2.9981918684995197</v>
      </c>
      <c r="BH337" s="43">
        <f t="shared" si="301"/>
        <v>85.274007310500153</v>
      </c>
      <c r="BI337" s="41" t="str">
        <f t="shared" si="306"/>
        <v>-0,456569328039665+2,05649540970124i</v>
      </c>
      <c r="BJ337" s="20">
        <f t="shared" si="302"/>
        <v>6.4715098331426946</v>
      </c>
      <c r="BK337" s="43">
        <f t="shared" si="307"/>
        <v>102.51740003990575</v>
      </c>
      <c r="BL337">
        <f t="shared" si="303"/>
        <v>-2.9981918684995197</v>
      </c>
      <c r="BM337" s="43">
        <f t="shared" si="304"/>
        <v>85.274007310500153</v>
      </c>
    </row>
    <row r="338" spans="14:65" x14ac:dyDescent="0.25">
      <c r="N338" s="9">
        <v>20</v>
      </c>
      <c r="O338" s="34">
        <f t="shared" si="308"/>
        <v>15848.931924611146</v>
      </c>
      <c r="P338" s="33" t="str">
        <f t="shared" si="257"/>
        <v>54,631621870174</v>
      </c>
      <c r="Q338" s="4" t="str">
        <f t="shared" si="258"/>
        <v>1+444,523106517566i</v>
      </c>
      <c r="R338" s="4">
        <f t="shared" si="270"/>
        <v>444.52423131706479</v>
      </c>
      <c r="S338" s="4">
        <f t="shared" si="271"/>
        <v>1.5685467287460204</v>
      </c>
      <c r="T338" s="4" t="str">
        <f t="shared" si="259"/>
        <v>1+1,50567645619248i</v>
      </c>
      <c r="U338" s="4">
        <f t="shared" si="272"/>
        <v>1.8075014773804043</v>
      </c>
      <c r="V338" s="4">
        <f t="shared" si="273"/>
        <v>0.98453575942036009</v>
      </c>
      <c r="W338" t="str">
        <f t="shared" si="260"/>
        <v>1-0,396269630097882i</v>
      </c>
      <c r="X338" s="4">
        <f t="shared" si="274"/>
        <v>1.075653113107526</v>
      </c>
      <c r="Y338" s="4">
        <f t="shared" si="275"/>
        <v>-0.37728641014955849</v>
      </c>
      <c r="Z338" t="str">
        <f t="shared" si="261"/>
        <v>0,998995245427396+0,0544442421297903i</v>
      </c>
      <c r="AA338" s="4">
        <f t="shared" si="276"/>
        <v>1.0004777238337845</v>
      </c>
      <c r="AB338" s="4">
        <f t="shared" si="277"/>
        <v>5.4445139628932528E-2</v>
      </c>
      <c r="AC338" s="47" t="str">
        <f t="shared" si="278"/>
        <v>0,125861732526351-0,202976469876383i</v>
      </c>
      <c r="AD338" s="20">
        <f t="shared" si="279"/>
        <v>-12.438157394589034</v>
      </c>
      <c r="AE338" s="43">
        <f t="shared" si="280"/>
        <v>-58.197759416654087</v>
      </c>
      <c r="AF338" t="str">
        <f t="shared" si="262"/>
        <v>171,265703090588</v>
      </c>
      <c r="AG338" t="str">
        <f t="shared" si="263"/>
        <v>1+440,2690126373i</v>
      </c>
      <c r="AH338">
        <f t="shared" si="281"/>
        <v>440.27014830513212</v>
      </c>
      <c r="AI338">
        <f t="shared" si="282"/>
        <v>1.568524992107144</v>
      </c>
      <c r="AJ338" t="str">
        <f t="shared" si="264"/>
        <v>1+1,50567645619248i</v>
      </c>
      <c r="AK338">
        <f t="shared" si="283"/>
        <v>1.8075014773804043</v>
      </c>
      <c r="AL338">
        <f t="shared" si="284"/>
        <v>0.98453575942036009</v>
      </c>
      <c r="AM338" t="str">
        <f t="shared" si="265"/>
        <v>1-0,125195265387498i</v>
      </c>
      <c r="AN338">
        <f t="shared" si="285"/>
        <v>1.0078064568534209</v>
      </c>
      <c r="AO338">
        <f t="shared" si="286"/>
        <v>-0.12454725122856597</v>
      </c>
      <c r="AP338" s="41" t="str">
        <f t="shared" si="287"/>
        <v>0,538057831860694-0,461108628527144i</v>
      </c>
      <c r="AQ338">
        <f t="shared" si="288"/>
        <v>-2.9918608143820196</v>
      </c>
      <c r="AR338" s="43">
        <f t="shared" si="289"/>
        <v>-40.596150159388493</v>
      </c>
      <c r="AS338" t="str">
        <f t="shared" si="266"/>
        <v>-0,0000166666666666667</v>
      </c>
      <c r="AT338" t="str">
        <f t="shared" si="267"/>
        <v>0,000152658862919515i</v>
      </c>
      <c r="AU338">
        <f t="shared" si="290"/>
        <v>1.5265886291951499E-4</v>
      </c>
      <c r="AV338">
        <f t="shared" si="291"/>
        <v>1.5707963267948966</v>
      </c>
      <c r="AW338" t="str">
        <f t="shared" si="268"/>
        <v>1+0,707400875964067i</v>
      </c>
      <c r="AX338">
        <f t="shared" si="292"/>
        <v>1.2249146906273634</v>
      </c>
      <c r="AY338">
        <f t="shared" si="293"/>
        <v>0.61567574467492603</v>
      </c>
      <c r="AZ338" t="str">
        <f t="shared" si="269"/>
        <v>1+32,861986147058i</v>
      </c>
      <c r="BA338">
        <f t="shared" si="294"/>
        <v>32.877197774893034</v>
      </c>
      <c r="BB338">
        <f t="shared" si="295"/>
        <v>1.5403754173815136</v>
      </c>
      <c r="BC338" s="41" t="str">
        <f t="shared" si="296"/>
        <v>-2,339688025469+1,76427324503792i</v>
      </c>
      <c r="BD338">
        <f t="shared" si="297"/>
        <v>9.3383135468346605</v>
      </c>
      <c r="BE338" s="43">
        <f t="shared" si="298"/>
        <v>142.98138856321597</v>
      </c>
      <c r="BF338" s="41" t="str">
        <f t="shared" si="299"/>
        <v>0,0636287667184622+0,696956103292102i</v>
      </c>
      <c r="BG338" s="20">
        <f t="shared" si="300"/>
        <v>-3.0998438477543759</v>
      </c>
      <c r="BH338" s="43">
        <f t="shared" si="301"/>
        <v>84.783629146561879</v>
      </c>
      <c r="BI338" s="41" t="str">
        <f t="shared" si="306"/>
        <v>-0,445365849847709+2,02813137364033i</v>
      </c>
      <c r="BJ338" s="20">
        <f t="shared" si="302"/>
        <v>6.3464527324526578</v>
      </c>
      <c r="BK338" s="43">
        <f t="shared" si="307"/>
        <v>102.38523840382744</v>
      </c>
      <c r="BL338">
        <f t="shared" si="303"/>
        <v>-3.0998438477543759</v>
      </c>
      <c r="BM338" s="43">
        <f t="shared" si="304"/>
        <v>84.783629146561879</v>
      </c>
    </row>
    <row r="339" spans="14:65" x14ac:dyDescent="0.25">
      <c r="N339" s="9">
        <v>21</v>
      </c>
      <c r="O339" s="34">
        <f t="shared" si="308"/>
        <v>16218.100973589309</v>
      </c>
      <c r="P339" s="33" t="str">
        <f t="shared" ref="P339:P402" si="309">COMPLEX(Adc,0)</f>
        <v>54,631621870174</v>
      </c>
      <c r="Q339" s="4" t="str">
        <f t="shared" ref="Q339:Q402" si="310">IMSUM(COMPLEX(1,0),IMDIV(COMPLEX(0,2*PI()*O339),COMPLEX(wp_lf,0)))</f>
        <v>1+454,877379806295i</v>
      </c>
      <c r="R339" s="4">
        <f t="shared" si="270"/>
        <v>454.87847900229389</v>
      </c>
      <c r="S339" s="4">
        <f t="shared" si="271"/>
        <v>1.5685979356824371</v>
      </c>
      <c r="T339" s="4" t="str">
        <f t="shared" ref="T339:T402" si="311">IMSUM(COMPLEX(1,0),IMDIV(COMPLEX(0,2*PI()*O339),COMPLEX(wz_esr,0)))</f>
        <v>1+1,54074816626388i</v>
      </c>
      <c r="U339" s="4">
        <f t="shared" si="272"/>
        <v>1.8368192376620811</v>
      </c>
      <c r="V339" s="4">
        <f t="shared" si="273"/>
        <v>0.99509955380730575</v>
      </c>
      <c r="W339" t="str">
        <f t="shared" ref="W339:W402" si="312">IMSUB(COMPLEX(1,0),IMDIV(COMPLEX(0,2*PI()*O339),COMPLEX(wz_rhp,0)))</f>
        <v>1-0,405499935532848i</v>
      </c>
      <c r="X339" s="4">
        <f t="shared" si="274"/>
        <v>1.0790876691525781</v>
      </c>
      <c r="Y339" s="4">
        <f t="shared" si="275"/>
        <v>-0.38523869048199555</v>
      </c>
      <c r="Z339" t="str">
        <f t="shared" ref="Z339:Z402" si="313">IMSUM(COMPLEX(1,0),IMDIV(COMPLEX(0,2*PI()*O339),COMPLEX(Q*(wsl/2),0)),IMDIV(IMPOWER(COMPLEX(0,2*PI()*O339),2),IMPOWER(COMPLEX(wsl/2,0),2)))</f>
        <v>0,998947892803242+0,0557124114414509i</v>
      </c>
      <c r="AA339" s="4">
        <f t="shared" si="276"/>
        <v>1.0005002575335296</v>
      </c>
      <c r="AB339" s="4">
        <f t="shared" si="277"/>
        <v>5.5713372548466658E-2</v>
      </c>
      <c r="AC339" s="47" t="str">
        <f t="shared" si="278"/>
        <v>0,125649240573403-0,202050420314539i</v>
      </c>
      <c r="AD339" s="20">
        <f t="shared" si="279"/>
        <v>-12.47090704129789</v>
      </c>
      <c r="AE339" s="43">
        <f t="shared" si="280"/>
        <v>-58.123729018259169</v>
      </c>
      <c r="AF339" t="str">
        <f t="shared" ref="AF339:AF402" si="314">COMPLEX($B$72,0)</f>
        <v>171,265703090588</v>
      </c>
      <c r="AG339" t="str">
        <f t="shared" ref="AG339:AG402" si="315">IMSUM(COMPLEX(1,0),IMDIV(COMPLEX(0,2*PI()*O339),COMPLEX(wp_lf_DCM,0)))</f>
        <v>1+450,524195350115i</v>
      </c>
      <c r="AH339">
        <f t="shared" si="281"/>
        <v>450.52530516705565</v>
      </c>
      <c r="AI339">
        <f t="shared" si="282"/>
        <v>1.5685766938249837</v>
      </c>
      <c r="AJ339" t="str">
        <f t="shared" ref="AJ339:AJ402" si="316">IMSUM(COMPLEX(1,0),IMDIV(COMPLEX(0,2*PI()*O339),COMPLEX(wz1_dcm,0)))</f>
        <v>1+1,54074816626388i</v>
      </c>
      <c r="AK339">
        <f t="shared" si="283"/>
        <v>1.8368192376620811</v>
      </c>
      <c r="AL339">
        <f t="shared" si="284"/>
        <v>0.99509955380730575</v>
      </c>
      <c r="AM339" t="str">
        <f t="shared" ref="AM339:AM402" si="317">IMSUB(COMPLEX(1,0),IMDIV(COMPLEX(0,2*PI()*O339),COMPLEX(wz2_dcm,0)))</f>
        <v>1-0,128111437737755i</v>
      </c>
      <c r="AN339">
        <f t="shared" si="285"/>
        <v>1.0081728723186487</v>
      </c>
      <c r="AO339">
        <f t="shared" si="286"/>
        <v>-0.12741738170521055</v>
      </c>
      <c r="AP339" s="41" t="str">
        <f t="shared" si="287"/>
        <v>0,538018190410711-0,453989795895691i</v>
      </c>
      <c r="AQ339">
        <f t="shared" si="288"/>
        <v>-3.0489472219568436</v>
      </c>
      <c r="AR339" s="43">
        <f t="shared" si="289"/>
        <v>-40.158297978561826</v>
      </c>
      <c r="AS339" t="str">
        <f t="shared" ref="AS339:AS402" si="318">COMPLEX(Adc_ea,0)</f>
        <v>-0,0000166666666666667</v>
      </c>
      <c r="AT339" t="str">
        <f t="shared" ref="AT339:AT402" si="319">COMPLEX(0,2*PI()*O339*wp0_ea)</f>
        <v>0,000156214744635088i</v>
      </c>
      <c r="AU339">
        <f t="shared" si="290"/>
        <v>1.56214744635088E-4</v>
      </c>
      <c r="AV339">
        <f t="shared" si="291"/>
        <v>1.5707963267948966</v>
      </c>
      <c r="AW339" t="str">
        <f t="shared" ref="AW339:AW402" si="320">IMSUM(COMPLEX(1,0),IMDIV(COMPLEX(0,2*PI()*O339),COMPLEX(wp1_ea,0)))</f>
        <v>1+0,723878359107295i</v>
      </c>
      <c r="AX339">
        <f t="shared" si="292"/>
        <v>1.2345038998658004</v>
      </c>
      <c r="AY339">
        <f t="shared" si="293"/>
        <v>0.62657259940929599</v>
      </c>
      <c r="AZ339" t="str">
        <f t="shared" ref="AZ339:AZ402" si="321">IMSUM(COMPLEX(1,0),IMDIV(COMPLEX(0,2*PI()*O339),COMPLEX(wz_ea,0)))</f>
        <v>1+33,6274401367116i</v>
      </c>
      <c r="BA339">
        <f t="shared" si="294"/>
        <v>33.642305660405057</v>
      </c>
      <c r="BB339">
        <f t="shared" si="295"/>
        <v>1.5410674691442054</v>
      </c>
      <c r="BC339" s="41" t="str">
        <f t="shared" si="296"/>
        <v>-2,3034813819146+1,77413106273539i</v>
      </c>
      <c r="BD339">
        <f t="shared" si="297"/>
        <v>9.2704002499585805</v>
      </c>
      <c r="BE339" s="43">
        <f t="shared" si="298"/>
        <v>142.39669642217606</v>
      </c>
      <c r="BF339" s="41" t="str">
        <f t="shared" si="299"/>
        <v>0,0690332406062229+0,688337602112946i</v>
      </c>
      <c r="BG339" s="20">
        <f t="shared" si="300"/>
        <v>-3.2005067913393108</v>
      </c>
      <c r="BH339" s="43">
        <f t="shared" si="301"/>
        <v>84.272967403916908</v>
      </c>
      <c r="BI339" s="41" t="str">
        <f t="shared" si="306"/>
        <v>-0,433877485679012+2,00027182634926i</v>
      </c>
      <c r="BJ339" s="20">
        <f t="shared" si="302"/>
        <v>6.2214530280017399</v>
      </c>
      <c r="BK339" s="43">
        <f t="shared" si="307"/>
        <v>102.23839844361424</v>
      </c>
      <c r="BL339">
        <f t="shared" si="303"/>
        <v>-3.2005067913393108</v>
      </c>
      <c r="BM339" s="43">
        <f t="shared" si="304"/>
        <v>84.272967403916908</v>
      </c>
    </row>
    <row r="340" spans="14:65" x14ac:dyDescent="0.25">
      <c r="N340" s="9">
        <v>22</v>
      </c>
      <c r="O340" s="34">
        <f t="shared" si="308"/>
        <v>16595.869074375616</v>
      </c>
      <c r="P340" s="33" t="str">
        <f t="shared" si="309"/>
        <v>54,631621870174</v>
      </c>
      <c r="Q340" s="4" t="str">
        <f t="shared" si="310"/>
        <v>1+465,472835102815i</v>
      </c>
      <c r="R340" s="4">
        <f t="shared" ref="R340:R403" si="322">IMABS(Q340)</f>
        <v>465.47390927811676</v>
      </c>
      <c r="S340" s="4">
        <f t="shared" ref="S340:S403" si="323">IMARGUMENT(Q340)</f>
        <v>1.5686479770178152</v>
      </c>
      <c r="T340" s="4" t="str">
        <f t="shared" si="311"/>
        <v>1+1,57663680140725i</v>
      </c>
      <c r="U340" s="4">
        <f t="shared" ref="U340:U403" si="324">IMABS(T340)</f>
        <v>1.8670253355409197</v>
      </c>
      <c r="V340" s="4">
        <f t="shared" ref="V340:V403" si="325">IMARGUMENT(T340)</f>
        <v>1.0055647708324456</v>
      </c>
      <c r="W340" t="str">
        <f t="shared" si="312"/>
        <v>1-0,414945242401062i</v>
      </c>
      <c r="X340" s="4">
        <f t="shared" ref="X340:X403" si="326">IMABS(W340)</f>
        <v>1.0826724131477978</v>
      </c>
      <c r="Y340" s="4">
        <f t="shared" ref="Y340:Y403" si="327">IMARGUMENT(W340)</f>
        <v>-0.39332344807021113</v>
      </c>
      <c r="Z340" t="str">
        <f t="shared" si="313"/>
        <v>0,998898308518665+0,0570101202110989i</v>
      </c>
      <c r="AA340" s="4">
        <f t="shared" ref="AA340:AA403" si="328">IMABS(Z340)</f>
        <v>1.0005238550718989</v>
      </c>
      <c r="AB340" s="4">
        <f t="shared" ref="AB340:AB403" si="329">IMARGUMENT(Z340)</f>
        <v>5.7011149404370916E-2</v>
      </c>
      <c r="AC340" s="47" t="str">
        <f t="shared" ref="AC340:AC403" si="330">(IMDIV(IMPRODUCT(P340,T340,W340),IMPRODUCT(Q340,Z340)))</f>
        <v>0,12542789664475-0,20123081391752i</v>
      </c>
      <c r="AD340" s="20">
        <f t="shared" ref="AD340:AD403" si="331">20*LOG(IMABS(AC340))</f>
        <v>-12.500628292969203</v>
      </c>
      <c r="AE340" s="43">
        <f t="shared" ref="AE340:AE403" si="332">(180/PI())*IMARGUMENT(AC340)</f>
        <v>-58.064563033132771</v>
      </c>
      <c r="AF340" t="str">
        <f t="shared" si="314"/>
        <v>171,265703090588</v>
      </c>
      <c r="AG340" t="str">
        <f t="shared" si="315"/>
        <v>1+461,018251954699i</v>
      </c>
      <c r="AH340">
        <f t="shared" ref="AH340:AH403" si="333">IMABS(AG340)</f>
        <v>461.01933650918187</v>
      </c>
      <c r="AI340">
        <f t="shared" ref="AI340:AI403" si="334">IMARGUMENT(AG340)</f>
        <v>1.5686272186795103</v>
      </c>
      <c r="AJ340" t="str">
        <f t="shared" si="316"/>
        <v>1+1,57663680140725i</v>
      </c>
      <c r="AK340">
        <f t="shared" ref="AK340:AK403" si="335">IMABS(AJ340)</f>
        <v>1.8670253355409197</v>
      </c>
      <c r="AL340">
        <f t="shared" ref="AL340:AL403" si="336">IMARGUMENT(AJ340)</f>
        <v>1.0055647708324456</v>
      </c>
      <c r="AM340" t="str">
        <f t="shared" si="317"/>
        <v>1-0,131095536468058i</v>
      </c>
      <c r="AN340">
        <f t="shared" ref="AN340:AN403" si="337">IMABS(AM340)</f>
        <v>1.0085564137329392</v>
      </c>
      <c r="AO340">
        <f t="shared" ref="AO340:AO403" si="338">IMARGUMENT(AM340)</f>
        <v>-0.13035218236742627</v>
      </c>
      <c r="AP340" s="41" t="str">
        <f t="shared" ref="AP340:AP403" si="339">(IMDIV(IMPRODUCT(AF340,AJ340,AM340),IMPRODUCT(AG340)))</f>
        <v>0,537980333102692-0,447111666740856i</v>
      </c>
      <c r="AQ340">
        <f t="shared" ref="AQ340:AQ403" si="340">20*LOG(IMABS(AP340))</f>
        <v>-3.1039666532285715</v>
      </c>
      <c r="AR340" s="43">
        <f t="shared" ref="AR340:AR403" si="341">(180/PI())*IMARGUMENT(AP340)</f>
        <v>-39.729731763914927</v>
      </c>
      <c r="AS340" t="str">
        <f t="shared" si="318"/>
        <v>-0,0000166666666666667</v>
      </c>
      <c r="AT340" t="str">
        <f t="shared" si="319"/>
        <v>0,000159853453476013i</v>
      </c>
      <c r="AU340">
        <f t="shared" ref="AU340:AU403" si="342">IMABS(AT340)</f>
        <v>1.5985345347601301E-4</v>
      </c>
      <c r="AV340">
        <f t="shared" ref="AV340:AV403" si="343">IMARGUMENT(AT340)</f>
        <v>1.5707963267948966</v>
      </c>
      <c r="AW340" t="str">
        <f t="shared" si="320"/>
        <v>1+0,740739652138189i</v>
      </c>
      <c r="AX340">
        <f t="shared" ref="AX340:AX403" si="344">IMABS(AW340)</f>
        <v>1.2444658421386283</v>
      </c>
      <c r="AY340">
        <f t="shared" ref="AY340:AY403" si="345">IMARGUMENT(AW340)</f>
        <v>0.63754809522312728</v>
      </c>
      <c r="AZ340" t="str">
        <f t="shared" si="321"/>
        <v>1+34,4107238402377i</v>
      </c>
      <c r="BA340">
        <f t="shared" ref="BA340:BA403" si="346">IMABS(AZ340)</f>
        <v>34.425251127756546</v>
      </c>
      <c r="BB340">
        <f t="shared" ref="BB340:BB403" si="347">IMARGUMENT(AZ340)</f>
        <v>1.5417437954111122</v>
      </c>
      <c r="BC340" s="41" t="str">
        <f t="shared" ref="BC340:BC403" si="348">IMPRODUCT(AS340,IMDIV(AZ340,IMPRODUCT(AT340,AW340)))</f>
        <v>-2,26675027708264+1,78333397375592i</v>
      </c>
      <c r="BD340">
        <f t="shared" ref="BD340:BD403" si="349">20*LOG(IMABS(BC340))</f>
        <v>9.2004172558098123</v>
      </c>
      <c r="BE340" s="43">
        <f t="shared" ref="BE340:BE403" si="350">(180/PI())*IMARGUMENT(BC340)</f>
        <v>141.80659747464804</v>
      </c>
      <c r="BF340" s="41" t="str">
        <f t="shared" ref="BF340:BF403" si="351">IMPRODUCT(AC340,BC340)</f>
        <v>0,0745480275522893+0,679819832548432i</v>
      </c>
      <c r="BG340" s="20">
        <f t="shared" ref="BG340:BG403" si="352">20*LOG(IMABS(BF340))</f>
        <v>-3.3002110371593982</v>
      </c>
      <c r="BH340" s="43">
        <f t="shared" ref="BH340:BH403" si="353">(180/PI())*IMARGUMENT(BF340)</f>
        <v>83.742034441515287</v>
      </c>
      <c r="BI340" s="41" t="str">
        <f t="shared" si="306"/>
        <v>-0,422117643763935+1,97288909970627i</v>
      </c>
      <c r="BJ340" s="20">
        <f t="shared" ref="BJ340:BJ403" si="354">20*LOG(IMABS(BI340))</f>
        <v>6.0964506025812231</v>
      </c>
      <c r="BK340" s="43">
        <f t="shared" si="307"/>
        <v>102.07686571073316</v>
      </c>
      <c r="BL340">
        <f t="shared" ref="BL340:BL403" si="355">IF($B$31=0,BJ340,BG340)</f>
        <v>-3.3002110371593982</v>
      </c>
      <c r="BM340" s="43">
        <f t="shared" ref="BM340:BM403" si="356">IF($B$31=0,BK340,BH340)</f>
        <v>83.742034441515287</v>
      </c>
    </row>
    <row r="341" spans="14:65" x14ac:dyDescent="0.25">
      <c r="N341" s="9">
        <v>23</v>
      </c>
      <c r="O341" s="34">
        <f t="shared" si="308"/>
        <v>16982.436524617482</v>
      </c>
      <c r="P341" s="33" t="str">
        <f t="shared" si="309"/>
        <v>54,631621870174</v>
      </c>
      <c r="Q341" s="4" t="str">
        <f t="shared" si="310"/>
        <v>1+476,315090257768i</v>
      </c>
      <c r="R341" s="4">
        <f t="shared" si="322"/>
        <v>476.3161399819092</v>
      </c>
      <c r="S341" s="4">
        <f t="shared" si="323"/>
        <v>1.5686968792837297</v>
      </c>
      <c r="T341" s="4" t="str">
        <f t="shared" si="311"/>
        <v>1+1,613361390252i</v>
      </c>
      <c r="U341" s="4">
        <f t="shared" si="324"/>
        <v>1.8981398724951399</v>
      </c>
      <c r="V341" s="4">
        <f t="shared" si="325"/>
        <v>1.015927789778462</v>
      </c>
      <c r="W341" t="str">
        <f t="shared" si="312"/>
        <v>1-0,424610558729248i</v>
      </c>
      <c r="X341" s="4">
        <f t="shared" si="326"/>
        <v>1.0864134234187115</v>
      </c>
      <c r="Y341" s="4">
        <f t="shared" si="327"/>
        <v>-0.4015407409415378</v>
      </c>
      <c r="Z341" t="str">
        <f t="shared" si="313"/>
        <v>0,998846387398749+0,0583380565011013i</v>
      </c>
      <c r="AA341" s="4">
        <f t="shared" si="328"/>
        <v>1.0005485667651806</v>
      </c>
      <c r="AB341" s="4">
        <f t="shared" si="329"/>
        <v>5.8339158570670388E-2</v>
      </c>
      <c r="AC341" s="47" t="str">
        <f t="shared" si="330"/>
        <v>0,125197233889561-0,200517167396149i</v>
      </c>
      <c r="AD341" s="20">
        <f t="shared" si="331"/>
        <v>-12.5273208633559</v>
      </c>
      <c r="AE341" s="43">
        <f t="shared" si="332"/>
        <v>-58.020513198891024</v>
      </c>
      <c r="AF341" t="str">
        <f t="shared" si="314"/>
        <v>171,265703090588</v>
      </c>
      <c r="AG341" t="str">
        <f t="shared" si="315"/>
        <v>1+471,75674653877i</v>
      </c>
      <c r="AH341">
        <f t="shared" si="333"/>
        <v>471.75780640583497</v>
      </c>
      <c r="AI341">
        <f t="shared" si="334"/>
        <v>1.5686765934586382</v>
      </c>
      <c r="AJ341" t="str">
        <f t="shared" si="316"/>
        <v>1+1,613361390252i</v>
      </c>
      <c r="AK341">
        <f t="shared" si="335"/>
        <v>1.8981398724951399</v>
      </c>
      <c r="AL341">
        <f t="shared" si="336"/>
        <v>1.015927789778462</v>
      </c>
      <c r="AM341" t="str">
        <f t="shared" si="317"/>
        <v>1-0,13414914378705i</v>
      </c>
      <c r="AN341">
        <f t="shared" si="337"/>
        <v>1.0089578746304519</v>
      </c>
      <c r="AO341">
        <f t="shared" si="338"/>
        <v>-0.13335300695711358</v>
      </c>
      <c r="AP341" s="41" t="str">
        <f t="shared" si="339"/>
        <v>0,537944179638538-0,440470594716299i</v>
      </c>
      <c r="AQ341">
        <f t="shared" si="340"/>
        <v>-3.1569489452051043</v>
      </c>
      <c r="AR341" s="43">
        <f t="shared" si="341"/>
        <v>-39.310738065800734</v>
      </c>
      <c r="AS341" t="str">
        <f t="shared" si="318"/>
        <v>-0,0000166666666666667</v>
      </c>
      <c r="AT341" t="str">
        <f t="shared" si="319"/>
        <v>0,000163576918733882i</v>
      </c>
      <c r="AU341">
        <f t="shared" si="342"/>
        <v>1.6357691873388199E-4</v>
      </c>
      <c r="AV341">
        <f t="shared" si="343"/>
        <v>1.5707963267948966</v>
      </c>
      <c r="AW341" t="str">
        <f t="shared" si="320"/>
        <v>1+0,757993695137496i</v>
      </c>
      <c r="AX341">
        <f t="shared" si="344"/>
        <v>1.2548125126361289</v>
      </c>
      <c r="AY341">
        <f t="shared" si="345"/>
        <v>0.64859747476694507</v>
      </c>
      <c r="AZ341" t="str">
        <f t="shared" si="321"/>
        <v>1+35,2122525650237i</v>
      </c>
      <c r="BA341">
        <f t="shared" si="346"/>
        <v>35.226449305926621</v>
      </c>
      <c r="BB341">
        <f t="shared" si="347"/>
        <v>1.5424047523030504</v>
      </c>
      <c r="BC341" s="41" t="str">
        <f t="shared" si="348"/>
        <v>-2,22952300249055+1,79185324452059i</v>
      </c>
      <c r="BD341">
        <f t="shared" si="349"/>
        <v>9.1283351165139184</v>
      </c>
      <c r="BE341" s="43">
        <f t="shared" si="350"/>
        <v>141.2113847008971</v>
      </c>
      <c r="BF341" s="41" t="str">
        <f t="shared" si="351"/>
        <v>0,0801672241759022+0,671392706853975i</v>
      </c>
      <c r="BG341" s="20">
        <f t="shared" si="352"/>
        <v>-3.3989857468419844</v>
      </c>
      <c r="BH341" s="43">
        <f t="shared" si="353"/>
        <v>83.190871502006075</v>
      </c>
      <c r="BI341" s="41" t="str">
        <f t="shared" si="306"/>
        <v>-0,410100258301715+1,94595634649696i</v>
      </c>
      <c r="BJ341" s="20">
        <f t="shared" si="354"/>
        <v>5.9713861713088008</v>
      </c>
      <c r="BK341" s="43">
        <f t="shared" si="307"/>
        <v>101.90064663509636</v>
      </c>
      <c r="BL341">
        <f t="shared" si="355"/>
        <v>-3.3989857468419844</v>
      </c>
      <c r="BM341" s="43">
        <f t="shared" si="356"/>
        <v>83.190871502006075</v>
      </c>
    </row>
    <row r="342" spans="14:65" x14ac:dyDescent="0.25">
      <c r="N342" s="9">
        <v>24</v>
      </c>
      <c r="O342" s="34">
        <f t="shared" si="308"/>
        <v>17378.008287493791</v>
      </c>
      <c r="P342" s="33" t="str">
        <f t="shared" si="309"/>
        <v>54,631621870174</v>
      </c>
      <c r="Q342" s="4" t="str">
        <f t="shared" si="310"/>
        <v>1+487,409893978346i</v>
      </c>
      <c r="R342" s="4">
        <f t="shared" si="322"/>
        <v>487.41091980789935</v>
      </c>
      <c r="S342" s="4">
        <f t="shared" si="323"/>
        <v>1.5687446684078732</v>
      </c>
      <c r="T342" s="4" t="str">
        <f t="shared" si="311"/>
        <v>1+1,65094140466119i</v>
      </c>
      <c r="U342" s="4">
        <f t="shared" si="324"/>
        <v>1.9301832870545388</v>
      </c>
      <c r="V342" s="4">
        <f t="shared" si="325"/>
        <v>1.0261852016663768</v>
      </c>
      <c r="W342" t="str">
        <f t="shared" si="312"/>
        <v>1-0,434501009196053i</v>
      </c>
      <c r="X342" s="4">
        <f t="shared" si="326"/>
        <v>1.0903169846390492</v>
      </c>
      <c r="Y342" s="4">
        <f t="shared" si="327"/>
        <v>-0.40989048605330891</v>
      </c>
      <c r="Z342" t="str">
        <f t="shared" si="313"/>
        <v>0,998792019311839+0,0596969244008553i</v>
      </c>
      <c r="AA342" s="4">
        <f t="shared" si="328"/>
        <v>1.0005744453182595</v>
      </c>
      <c r="AB342" s="4">
        <f t="shared" si="329"/>
        <v>5.969810446965769E-2</v>
      </c>
      <c r="AC342" s="47" t="str">
        <f t="shared" si="330"/>
        <v>0,124956765946068-0,199909050140823i</v>
      </c>
      <c r="AD342" s="20">
        <f t="shared" si="331"/>
        <v>-12.55098478954803</v>
      </c>
      <c r="AE342" s="43">
        <f t="shared" si="332"/>
        <v>-57.991811923619181</v>
      </c>
      <c r="AF342" t="str">
        <f t="shared" si="314"/>
        <v>171,265703090588</v>
      </c>
      <c r="AG342" t="str">
        <f t="shared" si="315"/>
        <v>1+482,745372794288i</v>
      </c>
      <c r="AH342">
        <f t="shared" si="333"/>
        <v>482.74640853588556</v>
      </c>
      <c r="AI342">
        <f t="shared" si="334"/>
        <v>1.5687248443405652</v>
      </c>
      <c r="AJ342" t="str">
        <f t="shared" si="316"/>
        <v>1+1,65094140466119i</v>
      </c>
      <c r="AK342">
        <f t="shared" si="335"/>
        <v>1.9301832870545388</v>
      </c>
      <c r="AL342">
        <f t="shared" si="336"/>
        <v>1.0261852016663768</v>
      </c>
      <c r="AM342" t="str">
        <f t="shared" si="317"/>
        <v>1-0,137273878757751i</v>
      </c>
      <c r="AN342">
        <f t="shared" si="337"/>
        <v>1.0093780846586664</v>
      </c>
      <c r="AO342">
        <f t="shared" si="338"/>
        <v>-0.1364212302585775</v>
      </c>
      <c r="AP342" s="41" t="str">
        <f t="shared" si="339"/>
        <v>0,537909653334013-0,43406305913122i</v>
      </c>
      <c r="AQ342">
        <f t="shared" si="340"/>
        <v>-3.2079245519865642</v>
      </c>
      <c r="AR342" s="43">
        <f t="shared" si="341"/>
        <v>-38.901592473565621</v>
      </c>
      <c r="AS342" t="str">
        <f t="shared" si="318"/>
        <v>-0,0000166666666666667</v>
      </c>
      <c r="AT342" t="str">
        <f t="shared" si="319"/>
        <v>0,00016738711463926i</v>
      </c>
      <c r="AU342">
        <f t="shared" si="342"/>
        <v>1.6738711463925999E-4</v>
      </c>
      <c r="AV342">
        <f t="shared" si="343"/>
        <v>1.5707963267948966</v>
      </c>
      <c r="AW342" t="str">
        <f t="shared" si="320"/>
        <v>1+0,77564963642719i</v>
      </c>
      <c r="AX342">
        <f t="shared" si="344"/>
        <v>1.2655561459254316</v>
      </c>
      <c r="AY342">
        <f t="shared" si="345"/>
        <v>0.65971580491454485</v>
      </c>
      <c r="AZ342" t="str">
        <f t="shared" si="321"/>
        <v>1+36,0324512922086i</v>
      </c>
      <c r="BA342">
        <f t="shared" si="346"/>
        <v>36.046325001661195</v>
      </c>
      <c r="BB342">
        <f t="shared" si="347"/>
        <v>1.5430506879568042</v>
      </c>
      <c r="BC342" s="41" t="str">
        <f t="shared" si="348"/>
        <v>-2,19182968439104+1,79966148954522i</v>
      </c>
      <c r="BD342">
        <f t="shared" si="349"/>
        <v>9.0541260650010233</v>
      </c>
      <c r="BE342" s="43">
        <f t="shared" si="350"/>
        <v>140.61136069500395</v>
      </c>
      <c r="BF342" s="41" t="str">
        <f t="shared" si="351"/>
        <v>0,0858846700839083+0,663046469808327i</v>
      </c>
      <c r="BG342" s="20">
        <f t="shared" si="352"/>
        <v>-3.4968587245470051</v>
      </c>
      <c r="BH342" s="43">
        <f t="shared" si="353"/>
        <v>82.619548771384814</v>
      </c>
      <c r="BI342" s="41" t="str">
        <f t="shared" si="306"/>
        <v>-0,397839774145337+1,91944758586123i</v>
      </c>
      <c r="BJ342" s="20">
        <f t="shared" si="354"/>
        <v>5.8462015130144405</v>
      </c>
      <c r="BK342" s="43">
        <f t="shared" si="307"/>
        <v>101.70976822143837</v>
      </c>
      <c r="BL342">
        <f t="shared" si="355"/>
        <v>-3.4968587245470051</v>
      </c>
      <c r="BM342" s="43">
        <f t="shared" si="356"/>
        <v>82.619548771384814</v>
      </c>
    </row>
    <row r="343" spans="14:65" x14ac:dyDescent="0.25">
      <c r="N343" s="9">
        <v>25</v>
      </c>
      <c r="O343" s="34">
        <f t="shared" si="308"/>
        <v>17782.794100389234</v>
      </c>
      <c r="P343" s="33" t="str">
        <f t="shared" si="309"/>
        <v>54,631621870174</v>
      </c>
      <c r="Q343" s="4" t="str">
        <f t="shared" si="310"/>
        <v>1+498,763128876344i</v>
      </c>
      <c r="R343" s="4">
        <f t="shared" si="322"/>
        <v>498.76413135521341</v>
      </c>
      <c r="S343" s="4">
        <f t="shared" si="323"/>
        <v>1.5687913697277982</v>
      </c>
      <c r="T343" s="4" t="str">
        <f t="shared" si="311"/>
        <v>1+1,68939677005594i</v>
      </c>
      <c r="U343" s="4">
        <f t="shared" si="324"/>
        <v>1.9631763666760669</v>
      </c>
      <c r="V343" s="4">
        <f t="shared" si="325"/>
        <v>1.0363338108675262</v>
      </c>
      <c r="W343" t="str">
        <f t="shared" si="312"/>
        <v>1-0,444621837849234i</v>
      </c>
      <c r="X343" s="4">
        <f t="shared" si="326"/>
        <v>1.0943895918238762</v>
      </c>
      <c r="Y343" s="4">
        <f t="shared" si="327"/>
        <v>-0.41837245246320898</v>
      </c>
      <c r="Z343" t="str">
        <f t="shared" si="313"/>
        <v>0,998735088935933+0,0610874444001089i</v>
      </c>
      <c r="AA343" s="4">
        <f t="shared" si="328"/>
        <v>1.0006015459388429</v>
      </c>
      <c r="AB343" s="4">
        <f t="shared" si="329"/>
        <v>6.108870794660453E-2</v>
      </c>
      <c r="AC343" s="47" t="str">
        <f t="shared" si="330"/>
        <v>0,124705985934611-0,199406083744951i</v>
      </c>
      <c r="AD343" s="20">
        <f t="shared" si="331"/>
        <v>-12.571620361938516</v>
      </c>
      <c r="AE343" s="43">
        <f t="shared" si="332"/>
        <v>-57.978671824459653</v>
      </c>
      <c r="AF343" t="str">
        <f t="shared" si="314"/>
        <v>171,265703090588</v>
      </c>
      <c r="AG343" t="str">
        <f t="shared" si="315"/>
        <v>1+493,989957036353i</v>
      </c>
      <c r="AH343">
        <f t="shared" si="333"/>
        <v>493.99096920164226</v>
      </c>
      <c r="AI343">
        <f t="shared" si="334"/>
        <v>1.5687719969076483</v>
      </c>
      <c r="AJ343" t="str">
        <f t="shared" si="316"/>
        <v>1+1,68939677005594i</v>
      </c>
      <c r="AK343">
        <f t="shared" si="335"/>
        <v>1.9631763666760669</v>
      </c>
      <c r="AL343">
        <f t="shared" si="336"/>
        <v>1.0363338108675262</v>
      </c>
      <c r="AM343" t="str">
        <f t="shared" si="317"/>
        <v>1-0,140471398156004i</v>
      </c>
      <c r="AN343">
        <f t="shared" si="337"/>
        <v>1.0098179111601766</v>
      </c>
      <c r="AO343">
        <f t="shared" si="338"/>
        <v>-0.13955824788866825</v>
      </c>
      <c r="AP343" s="41" t="str">
        <f t="shared" si="339"/>
        <v>0,537876680956138-0,427885663085991i</v>
      </c>
      <c r="AQ343">
        <f t="shared" si="340"/>
        <v>-3.2569244195844593</v>
      </c>
      <c r="AR343" s="43">
        <f t="shared" si="341"/>
        <v>-38.502559511961579</v>
      </c>
      <c r="AS343" t="str">
        <f t="shared" si="318"/>
        <v>-0,0000166666666666667</v>
      </c>
      <c r="AT343" t="str">
        <f t="shared" si="319"/>
        <v>0,00017128606140845i</v>
      </c>
      <c r="AU343">
        <f t="shared" si="342"/>
        <v>1.7128606140845001E-4</v>
      </c>
      <c r="AV343">
        <f t="shared" si="343"/>
        <v>1.5707963267948966</v>
      </c>
      <c r="AW343" t="str">
        <f t="shared" si="320"/>
        <v>1+0,793716837421054i</v>
      </c>
      <c r="AX343">
        <f t="shared" si="344"/>
        <v>1.2767092143497987</v>
      </c>
      <c r="AY343">
        <f t="shared" si="345"/>
        <v>0.67089798589192062</v>
      </c>
      <c r="AZ343" t="str">
        <f t="shared" si="321"/>
        <v>1+36,8717549020145i</v>
      </c>
      <c r="BA343">
        <f t="shared" si="346"/>
        <v>36.885312924716132</v>
      </c>
      <c r="BB343">
        <f t="shared" si="347"/>
        <v>1.5436819426987287</v>
      </c>
      <c r="BC343" s="41" t="str">
        <f t="shared" si="348"/>
        <v>-2,15370220760119+1,80673281608472i</v>
      </c>
      <c r="BD343">
        <f t="shared" si="349"/>
        <v>8.9777641166954663</v>
      </c>
      <c r="BE343" s="43">
        <f t="shared" si="350"/>
        <v>140.0068371517587</v>
      </c>
      <c r="BF343" s="41" t="str">
        <f t="shared" si="351"/>
        <v>0,0916939580204862+0,65477171992087i</v>
      </c>
      <c r="BG343" s="20">
        <f t="shared" si="352"/>
        <v>-3.5938562452430487</v>
      </c>
      <c r="BH343" s="43">
        <f t="shared" si="353"/>
        <v>82.028165327299064</v>
      </c>
      <c r="BI343" s="41" t="str">
        <f t="shared" si="306"/>
        <v>-0,385351126162805+1,89333774767938i</v>
      </c>
      <c r="BJ343" s="20">
        <f t="shared" si="354"/>
        <v>5.7208396971109909</v>
      </c>
      <c r="BK343" s="43">
        <f t="shared" si="307"/>
        <v>101.50427763979712</v>
      </c>
      <c r="BL343">
        <f t="shared" si="355"/>
        <v>-3.5938562452430487</v>
      </c>
      <c r="BM343" s="43">
        <f t="shared" si="356"/>
        <v>82.028165327299064</v>
      </c>
    </row>
    <row r="344" spans="14:65" x14ac:dyDescent="0.25">
      <c r="N344" s="9">
        <v>26</v>
      </c>
      <c r="O344" s="34">
        <f t="shared" si="308"/>
        <v>18197.008586099837</v>
      </c>
      <c r="P344" s="33" t="str">
        <f t="shared" si="309"/>
        <v>54,631621870174</v>
      </c>
      <c r="Q344" s="4" t="str">
        <f t="shared" si="310"/>
        <v>1+510,380814587187i</v>
      </c>
      <c r="R344" s="4">
        <f t="shared" si="322"/>
        <v>510.38179424689565</v>
      </c>
      <c r="S344" s="4">
        <f t="shared" si="323"/>
        <v>1.5688370080043479</v>
      </c>
      <c r="T344" s="4" t="str">
        <f t="shared" si="311"/>
        <v>1+1,72874787597998i</v>
      </c>
      <c r="U344" s="4">
        <f t="shared" si="324"/>
        <v>1.9971402601483179</v>
      </c>
      <c r="V344" s="4">
        <f t="shared" si="325"/>
        <v>1.0463706358238463</v>
      </c>
      <c r="W344" t="str">
        <f t="shared" si="312"/>
        <v>1-0,454978410886112i</v>
      </c>
      <c r="X344" s="4">
        <f t="shared" si="326"/>
        <v>1.0986379541834752</v>
      </c>
      <c r="Y344" s="4">
        <f t="shared" si="327"/>
        <v>-0.42698625457844774</v>
      </c>
      <c r="Z344" t="str">
        <f t="shared" si="313"/>
        <v>0,99867547551407+0,0625103537709717i</v>
      </c>
      <c r="AA344" s="4">
        <f t="shared" si="328"/>
        <v>1.0006299264572422</v>
      </c>
      <c r="AB344" s="4">
        <f t="shared" si="329"/>
        <v>6.251170665324704E-2</v>
      </c>
      <c r="AC344" s="47" t="str">
        <f t="shared" si="330"/>
        <v>0,124444365409535-0,199007941538295i</v>
      </c>
      <c r="AD344" s="20">
        <f t="shared" si="331"/>
        <v>-12.589228060481794</v>
      </c>
      <c r="AE344" s="43">
        <f t="shared" si="332"/>
        <v>-57.981285322288507</v>
      </c>
      <c r="AF344" t="str">
        <f t="shared" si="314"/>
        <v>171,265703090588</v>
      </c>
      <c r="AG344" t="str">
        <f t="shared" si="315"/>
        <v>1+505,496461292371i</v>
      </c>
      <c r="AH344">
        <f t="shared" si="333"/>
        <v>505.497450418011</v>
      </c>
      <c r="AI344">
        <f t="shared" si="334"/>
        <v>1.5688180761599639</v>
      </c>
      <c r="AJ344" t="str">
        <f t="shared" si="316"/>
        <v>1+1,72874787597998i</v>
      </c>
      <c r="AK344">
        <f t="shared" si="335"/>
        <v>1.9971402601483179</v>
      </c>
      <c r="AL344">
        <f t="shared" si="336"/>
        <v>1.0463706358238463</v>
      </c>
      <c r="AM344" t="str">
        <f t="shared" si="317"/>
        <v>1-0,143743397348919i</v>
      </c>
      <c r="AN344">
        <f t="shared" si="337"/>
        <v>1.0102782608179832</v>
      </c>
      <c r="AO344">
        <f t="shared" si="338"/>
        <v>-0.14276547603783354</v>
      </c>
      <c r="AP344" s="41" t="str">
        <f t="shared" si="339"/>
        <v>0,537845192567833-0,421935131673269i</v>
      </c>
      <c r="AQ344">
        <f t="shared" si="340"/>
        <v>-3.3039798619434588</v>
      </c>
      <c r="AR344" s="43">
        <f t="shared" si="341"/>
        <v>-38.113892585816252</v>
      </c>
      <c r="AS344" t="str">
        <f t="shared" si="318"/>
        <v>-0,0000166666666666667</v>
      </c>
      <c r="AT344" t="str">
        <f t="shared" si="319"/>
        <v>0,000175275826314637i</v>
      </c>
      <c r="AU344">
        <f t="shared" si="342"/>
        <v>1.7527582631463701E-4</v>
      </c>
      <c r="AV344">
        <f t="shared" si="343"/>
        <v>1.5707963267948966</v>
      </c>
      <c r="AW344" t="str">
        <f t="shared" si="320"/>
        <v>1+0,812204877588209i</v>
      </c>
      <c r="AX344">
        <f t="shared" si="344"/>
        <v>1.2882844263508264</v>
      </c>
      <c r="AY344">
        <f t="shared" si="345"/>
        <v>0.68213876134401774</v>
      </c>
      <c r="AZ344" t="str">
        <f t="shared" si="321"/>
        <v>1+37,730608404325i</v>
      </c>
      <c r="BA344">
        <f t="shared" si="346"/>
        <v>37.74385791834905</v>
      </c>
      <c r="BB344">
        <f t="shared" si="347"/>
        <v>1.5442988492149397</v>
      </c>
      <c r="BC344" s="41" t="str">
        <f t="shared" si="348"/>
        <v>-2,1151741258922+1,81304296390004i</v>
      </c>
      <c r="BD344">
        <f t="shared" si="349"/>
        <v>8.8992251665146362</v>
      </c>
      <c r="BE344" s="43">
        <f t="shared" si="350"/>
        <v>139.39813429963209</v>
      </c>
      <c r="BF344" s="41" t="str">
        <f t="shared" si="351"/>
        <v>0,0975884463389136+0,646559429891632i</v>
      </c>
      <c r="BG344" s="20">
        <f t="shared" si="352"/>
        <v>-3.6900028939671592</v>
      </c>
      <c r="BH344" s="43">
        <f t="shared" si="353"/>
        <v>81.416848977343591</v>
      </c>
      <c r="BI344" s="41" t="str">
        <f t="shared" si="306"/>
        <v>-0,372649713352531+1,86760271537279i</v>
      </c>
      <c r="BJ344" s="20">
        <f t="shared" si="354"/>
        <v>5.5952453045711836</v>
      </c>
      <c r="BK344" s="43">
        <f t="shared" si="307"/>
        <v>101.28424171381583</v>
      </c>
      <c r="BL344">
        <f t="shared" si="355"/>
        <v>-3.6900028939671592</v>
      </c>
      <c r="BM344" s="43">
        <f t="shared" si="356"/>
        <v>81.416848977343591</v>
      </c>
    </row>
    <row r="345" spans="14:65" x14ac:dyDescent="0.25">
      <c r="N345" s="9">
        <v>27</v>
      </c>
      <c r="O345" s="34">
        <f t="shared" si="308"/>
        <v>18620.871366628675</v>
      </c>
      <c r="P345" s="33" t="str">
        <f t="shared" si="309"/>
        <v>54,631621870174</v>
      </c>
      <c r="Q345" s="4" t="str">
        <f t="shared" si="310"/>
        <v>1+522,269110961611i</v>
      </c>
      <c r="R345" s="4">
        <f t="shared" si="322"/>
        <v>522.27006832158349</v>
      </c>
      <c r="S345" s="4">
        <f t="shared" si="323"/>
        <v>1.5688816074347789</v>
      </c>
      <c r="T345" s="4" t="str">
        <f t="shared" si="311"/>
        <v>1+1,76901558691055i</v>
      </c>
      <c r="U345" s="4">
        <f t="shared" si="324"/>
        <v>2.0320964905073962</v>
      </c>
      <c r="V345" s="4">
        <f t="shared" si="325"/>
        <v>1.0562929089156927</v>
      </c>
      <c r="W345" t="str">
        <f t="shared" si="312"/>
        <v>1-0,465576219498792i</v>
      </c>
      <c r="X345" s="4">
        <f t="shared" si="326"/>
        <v>1.1030689988222802</v>
      </c>
      <c r="Y345" s="4">
        <f t="shared" si="327"/>
        <v>-0.43573134552467979</v>
      </c>
      <c r="Z345" t="str">
        <f t="shared" si="313"/>
        <v>0,99861305259819+0,0639664069588261i</v>
      </c>
      <c r="AA345" s="4">
        <f t="shared" si="328"/>
        <v>1.0006596474519682</v>
      </c>
      <c r="AB345" s="4">
        <f t="shared" si="329"/>
        <v>6.396785544025943E-2</v>
      </c>
      <c r="AC345" s="47" t="str">
        <f t="shared" si="330"/>
        <v>0,124171353267956-0,198714348128725i</v>
      </c>
      <c r="AD345" s="20">
        <f t="shared" si="331"/>
        <v>-12.603808497922435</v>
      </c>
      <c r="AE345" s="43">
        <f t="shared" si="332"/>
        <v>-57.999824292597872</v>
      </c>
      <c r="AF345" t="str">
        <f t="shared" si="314"/>
        <v>171,265703090588</v>
      </c>
      <c r="AG345" t="str">
        <f t="shared" si="315"/>
        <v>1+517,270986463203i</v>
      </c>
      <c r="AH345">
        <f t="shared" si="333"/>
        <v>517.27195307363729</v>
      </c>
      <c r="AI345">
        <f t="shared" si="334"/>
        <v>1.5688631065285583</v>
      </c>
      <c r="AJ345" t="str">
        <f t="shared" si="316"/>
        <v>1+1,76901558691055i</v>
      </c>
      <c r="AK345">
        <f t="shared" si="335"/>
        <v>2.0320964905073962</v>
      </c>
      <c r="AL345">
        <f t="shared" si="336"/>
        <v>1.0562929089156927</v>
      </c>
      <c r="AM345" t="str">
        <f t="shared" si="317"/>
        <v>1-0,147091611193776i</v>
      </c>
      <c r="AN345">
        <f t="shared" si="337"/>
        <v>1.010760081366286</v>
      </c>
      <c r="AO345">
        <f t="shared" si="338"/>
        <v>-0.14604435115844414</v>
      </c>
      <c r="AP345" s="41" t="str">
        <f t="shared" si="339"/>
        <v>0,537815121379611-0,416208310243663i</v>
      </c>
      <c r="AQ345">
        <f t="shared" si="340"/>
        <v>-3.3491224387242231</v>
      </c>
      <c r="AR345" s="43">
        <f t="shared" si="341"/>
        <v>-37.735833970509148</v>
      </c>
      <c r="AS345" t="str">
        <f t="shared" si="318"/>
        <v>-0,0000166666666666667</v>
      </c>
      <c r="AT345" t="str">
        <f t="shared" si="319"/>
        <v>0,000179358524783987i</v>
      </c>
      <c r="AU345">
        <f t="shared" si="342"/>
        <v>1.79358524783987E-4</v>
      </c>
      <c r="AV345">
        <f t="shared" si="343"/>
        <v>1.5707963267948966</v>
      </c>
      <c r="AW345" t="str">
        <f t="shared" si="320"/>
        <v>1+0,831123559532261i</v>
      </c>
      <c r="AX345">
        <f t="shared" si="344"/>
        <v>1.300294724748807</v>
      </c>
      <c r="AY345">
        <f t="shared" si="345"/>
        <v>0.69343272930259137</v>
      </c>
      <c r="AZ345" t="str">
        <f t="shared" si="321"/>
        <v>1+38,6094671746351i</v>
      </c>
      <c r="BA345">
        <f t="shared" si="346"/>
        <v>38.622415195184594</v>
      </c>
      <c r="BB345">
        <f t="shared" si="347"/>
        <v>1.5449017327181354</v>
      </c>
      <c r="BC345" s="41" t="str">
        <f t="shared" si="348"/>
        <v>-2,07628055927524+1,81856943872964i</v>
      </c>
      <c r="BD345">
        <f t="shared" si="349"/>
        <v>8.8184870804183948</v>
      </c>
      <c r="BE345" s="43">
        <f t="shared" si="350"/>
        <v>138.78558028192086</v>
      </c>
      <c r="BF345" s="41" t="str">
        <f t="shared" si="351"/>
        <v>0,103561273734827+0,63840096608753i</v>
      </c>
      <c r="BG345" s="20">
        <f t="shared" si="352"/>
        <v>-3.7853214175040453</v>
      </c>
      <c r="BH345" s="43">
        <f t="shared" si="353"/>
        <v>80.785755989322936</v>
      </c>
      <c r="BI345" s="41" t="str">
        <f t="shared" si="306"/>
        <v>-0,35975136785031+1,84221936659535i</v>
      </c>
      <c r="BJ345" s="20">
        <f t="shared" si="354"/>
        <v>5.4693646416941819</v>
      </c>
      <c r="BK345" s="43">
        <f t="shared" si="307"/>
        <v>101.04974631141168</v>
      </c>
      <c r="BL345">
        <f t="shared" si="355"/>
        <v>-3.7853214175040453</v>
      </c>
      <c r="BM345" s="43">
        <f t="shared" si="356"/>
        <v>80.785755989322936</v>
      </c>
    </row>
    <row r="346" spans="14:65" x14ac:dyDescent="0.25">
      <c r="N346" s="9">
        <v>28</v>
      </c>
      <c r="O346" s="34">
        <f t="shared" si="308"/>
        <v>19054.607179632505</v>
      </c>
      <c r="P346" s="33" t="str">
        <f t="shared" si="309"/>
        <v>54,631621870174</v>
      </c>
      <c r="Q346" s="4" t="str">
        <f t="shared" si="310"/>
        <v>1+534,43432133172i</v>
      </c>
      <c r="R346" s="4">
        <f t="shared" si="322"/>
        <v>534.43525689955754</v>
      </c>
      <c r="S346" s="4">
        <f t="shared" si="323"/>
        <v>1.5689251916655902</v>
      </c>
      <c r="T346" s="4" t="str">
        <f t="shared" si="311"/>
        <v>1+1,81022125332101i</v>
      </c>
      <c r="U346" s="4">
        <f t="shared" si="324"/>
        <v>2.068066968445434</v>
      </c>
      <c r="V346" s="4">
        <f t="shared" si="325"/>
        <v>1.0660980755206677</v>
      </c>
      <c r="W346" t="str">
        <f t="shared" si="312"/>
        <v>1-0,476420882785683i</v>
      </c>
      <c r="X346" s="4">
        <f t="shared" si="326"/>
        <v>1.107689874267292</v>
      </c>
      <c r="Y346" s="4">
        <f t="shared" si="327"/>
        <v>-0.44460701067832392</v>
      </c>
      <c r="Z346" t="str">
        <f t="shared" si="313"/>
        <v>0,99854768778092+0,0654563759823461i</v>
      </c>
      <c r="AA346" s="4">
        <f t="shared" si="328"/>
        <v>1.0006907723814404</v>
      </c>
      <c r="AB346" s="4">
        <f t="shared" si="329"/>
        <v>6.5457926758927462E-2</v>
      </c>
      <c r="AC346" s="47" t="str">
        <f t="shared" si="330"/>
        <v>0,123886374613333-0,198525078950782i</v>
      </c>
      <c r="AD346" s="20">
        <f t="shared" si="331"/>
        <v>-12.615362370597659</v>
      </c>
      <c r="AE346" s="43">
        <f t="shared" si="332"/>
        <v>-58.034439772597572</v>
      </c>
      <c r="AF346" t="str">
        <f t="shared" si="314"/>
        <v>171,265703090588</v>
      </c>
      <c r="AG346" t="str">
        <f t="shared" si="315"/>
        <v>1+529,319775557952i</v>
      </c>
      <c r="AH346">
        <f t="shared" si="333"/>
        <v>529.32072016568611</v>
      </c>
      <c r="AI346">
        <f t="shared" si="334"/>
        <v>1.5689071118883977</v>
      </c>
      <c r="AJ346" t="str">
        <f t="shared" si="316"/>
        <v>1+1,81022125332101i</v>
      </c>
      <c r="AK346">
        <f t="shared" si="335"/>
        <v>2.068066968445434</v>
      </c>
      <c r="AL346">
        <f t="shared" si="336"/>
        <v>1.0660980755206677</v>
      </c>
      <c r="AM346" t="str">
        <f t="shared" si="317"/>
        <v>1-0,150517814957878i</v>
      </c>
      <c r="AN346">
        <f t="shared" si="337"/>
        <v>1.0112643633687948</v>
      </c>
      <c r="AO346">
        <f t="shared" si="338"/>
        <v>-0.14939632959658092</v>
      </c>
      <c r="AP346" s="41" t="str">
        <f t="shared" si="339"/>
        <v>0,537786403607921-0,410702162734999i</v>
      </c>
      <c r="AQ346">
        <f t="shared" si="340"/>
        <v>-3.3923838353602953</v>
      </c>
      <c r="AR346" s="43">
        <f t="shared" si="341"/>
        <v>-37.368614845540414</v>
      </c>
      <c r="AS346" t="str">
        <f t="shared" si="318"/>
        <v>-0,0000166666666666667</v>
      </c>
      <c r="AT346" t="str">
        <f t="shared" si="319"/>
        <v>0,000183536321517268i</v>
      </c>
      <c r="AU346">
        <f t="shared" si="342"/>
        <v>1.8353632151726801E-4</v>
      </c>
      <c r="AV346">
        <f t="shared" si="343"/>
        <v>1.5707963267948966</v>
      </c>
      <c r="AW346" t="str">
        <f t="shared" si="320"/>
        <v>1+0,850482914188806i</v>
      </c>
      <c r="AX346">
        <f t="shared" si="344"/>
        <v>1.3127532850185841</v>
      </c>
      <c r="AY346">
        <f t="shared" si="345"/>
        <v>0.70477435400920752</v>
      </c>
      <c r="AZ346" t="str">
        <f t="shared" si="321"/>
        <v>1+39,5087971954982i</v>
      </c>
      <c r="BA346">
        <f t="shared" si="346"/>
        <v>39.521450578578296</v>
      </c>
      <c r="BB346">
        <f t="shared" si="347"/>
        <v>1.5454909111110919</v>
      </c>
      <c r="BC346" s="41" t="str">
        <f t="shared" si="348"/>
        <v>-2,03705807868799+1,8232916380688i</v>
      </c>
      <c r="BD346">
        <f t="shared" si="349"/>
        <v>8.7355297807748009</v>
      </c>
      <c r="BE346" s="43">
        <f t="shared" si="350"/>
        <v>138.16951048870732</v>
      </c>
      <c r="BF346" s="41" t="str">
        <f t="shared" si="351"/>
        <v>0,109605376152452+0,63028810680201i</v>
      </c>
      <c r="BG346" s="20">
        <f t="shared" si="352"/>
        <v>-3.8798325898228643</v>
      </c>
      <c r="BH346" s="43">
        <f t="shared" si="353"/>
        <v>80.135070716109794</v>
      </c>
      <c r="BI346" s="41" t="str">
        <f t="shared" si="306"/>
        <v>-0,34667231902658+1,81716561129937i</v>
      </c>
      <c r="BJ346" s="20">
        <f t="shared" si="354"/>
        <v>5.3431459454144861</v>
      </c>
      <c r="BK346" s="43">
        <f t="shared" si="307"/>
        <v>100.80089564316694</v>
      </c>
      <c r="BL346">
        <f t="shared" si="355"/>
        <v>-3.8798325898228643</v>
      </c>
      <c r="BM346" s="43">
        <f t="shared" si="356"/>
        <v>80.135070716109794</v>
      </c>
    </row>
    <row r="347" spans="14:65" x14ac:dyDescent="0.25">
      <c r="N347" s="9">
        <v>29</v>
      </c>
      <c r="O347" s="34">
        <f t="shared" si="308"/>
        <v>19498.445997580486</v>
      </c>
      <c r="P347" s="33" t="str">
        <f t="shared" si="309"/>
        <v>54,631621870174</v>
      </c>
      <c r="Q347" s="4" t="str">
        <f t="shared" si="310"/>
        <v>1+546,882895853067i</v>
      </c>
      <c r="R347" s="4">
        <f t="shared" si="322"/>
        <v>546.8838101248167</v>
      </c>
      <c r="S347" s="4">
        <f t="shared" si="323"/>
        <v>1.5689677838050546</v>
      </c>
      <c r="T347" s="4" t="str">
        <f t="shared" si="311"/>
        <v>1+1,85238672300106i</v>
      </c>
      <c r="U347" s="4">
        <f t="shared" si="324"/>
        <v>2.1050740061932758</v>
      </c>
      <c r="V347" s="4">
        <f t="shared" si="325"/>
        <v>1.0757837923108127</v>
      </c>
      <c r="W347" t="str">
        <f t="shared" si="312"/>
        <v>1-0,487518150730798i</v>
      </c>
      <c r="X347" s="4">
        <f t="shared" si="326"/>
        <v>1.1125079538106579</v>
      </c>
      <c r="Y347" s="4">
        <f t="shared" si="327"/>
        <v>-0.45361236140844069</v>
      </c>
      <c r="Z347" t="str">
        <f t="shared" si="313"/>
        <v>0,998479242414718+0,0669810508428287i</v>
      </c>
      <c r="AA347" s="4">
        <f t="shared" si="328"/>
        <v>1.0007233677221086</v>
      </c>
      <c r="AB347" s="4">
        <f t="shared" si="329"/>
        <v>6.698271107223111E-2</v>
      </c>
      <c r="AC347" s="47" t="str">
        <f t="shared" si="330"/>
        <v>0,123588829571709-0,198439959819383i</v>
      </c>
      <c r="AD347" s="20">
        <f t="shared" si="331"/>
        <v>-12.62389041733705</v>
      </c>
      <c r="AE347" s="43">
        <f t="shared" si="332"/>
        <v>-58.085261724485754</v>
      </c>
      <c r="AF347" t="str">
        <f t="shared" si="314"/>
        <v>171,265703090588</v>
      </c>
      <c r="AG347" t="str">
        <f t="shared" si="315"/>
        <v>1+541,649217004071i</v>
      </c>
      <c r="AH347">
        <f t="shared" si="333"/>
        <v>541.65014010994514</v>
      </c>
      <c r="AI347">
        <f t="shared" si="334"/>
        <v>1.5689501155710246</v>
      </c>
      <c r="AJ347" t="str">
        <f t="shared" si="316"/>
        <v>1+1,85238672300106i</v>
      </c>
      <c r="AK347">
        <f t="shared" si="335"/>
        <v>2.1050740061932758</v>
      </c>
      <c r="AL347">
        <f t="shared" si="336"/>
        <v>1.0757837923108127</v>
      </c>
      <c r="AM347" t="str">
        <f t="shared" si="317"/>
        <v>1-0,154023825259807i</v>
      </c>
      <c r="AN347">
        <f t="shared" si="337"/>
        <v>1.0117921420665728</v>
      </c>
      <c r="AO347">
        <f t="shared" si="338"/>
        <v>-0.15282288716323436</v>
      </c>
      <c r="AP347" s="41" t="str">
        <f t="shared" si="339"/>
        <v>0,537758978339849-0,405413770064351i</v>
      </c>
      <c r="AQ347">
        <f t="shared" si="340"/>
        <v>-3.4337957458503969</v>
      </c>
      <c r="AR347" s="43">
        <f t="shared" si="341"/>
        <v>-37.012455368251935</v>
      </c>
      <c r="AS347" t="str">
        <f t="shared" si="318"/>
        <v>-0,0000166666666666667</v>
      </c>
      <c r="AT347" t="str">
        <f t="shared" si="319"/>
        <v>0,000187811431637608i</v>
      </c>
      <c r="AU347">
        <f t="shared" si="342"/>
        <v>1.87811431637608E-4</v>
      </c>
      <c r="AV347">
        <f t="shared" si="343"/>
        <v>1.5707963267948966</v>
      </c>
      <c r="AW347" t="str">
        <f t="shared" si="320"/>
        <v>1+0,870293206143914i</v>
      </c>
      <c r="AX347">
        <f t="shared" si="344"/>
        <v>1.3256735135998807</v>
      </c>
      <c r="AY347">
        <f t="shared" si="345"/>
        <v>0.71615797853829521</v>
      </c>
      <c r="AZ347" t="str">
        <f t="shared" si="321"/>
        <v>1+40,4290753035946i</v>
      </c>
      <c r="BA347">
        <f t="shared" si="346"/>
        <v>40.441440749603906</v>
      </c>
      <c r="BB347">
        <f t="shared" si="347"/>
        <v>1.5460666951468769</v>
      </c>
      <c r="BC347" s="41" t="str">
        <f t="shared" si="348"/>
        <v>-1,99754457875404+1,82719096790444i</v>
      </c>
      <c r="BD347">
        <f t="shared" si="349"/>
        <v>8.6503353248413042</v>
      </c>
      <c r="BE347" s="43">
        <f t="shared" si="350"/>
        <v>137.55026684279056</v>
      </c>
      <c r="BF347" s="41" t="str">
        <f t="shared" si="351"/>
        <v>0,115713505747772+0,622213059072686i</v>
      </c>
      <c r="BG347" s="20">
        <f t="shared" si="352"/>
        <v>-3.9735550924957428</v>
      </c>
      <c r="BH347" s="43">
        <f t="shared" si="353"/>
        <v>79.465005118304845</v>
      </c>
      <c r="BI347" s="41" t="str">
        <f t="shared" si="306"/>
        <v>-0,333429152933407+1,79242042667637i</v>
      </c>
      <c r="BJ347" s="20">
        <f t="shared" si="354"/>
        <v>5.2165395789908935</v>
      </c>
      <c r="BK347" s="43">
        <f t="shared" si="307"/>
        <v>100.53781147453864</v>
      </c>
      <c r="BL347">
        <f t="shared" si="355"/>
        <v>-3.9735550924957428</v>
      </c>
      <c r="BM347" s="43">
        <f t="shared" si="356"/>
        <v>79.465005118304845</v>
      </c>
    </row>
    <row r="348" spans="14:65" x14ac:dyDescent="0.25">
      <c r="N348" s="9">
        <v>30</v>
      </c>
      <c r="O348" s="34">
        <f t="shared" si="308"/>
        <v>19952.623149688792</v>
      </c>
      <c r="P348" s="33" t="str">
        <f t="shared" si="309"/>
        <v>54,631621870174</v>
      </c>
      <c r="Q348" s="4" t="str">
        <f t="shared" si="310"/>
        <v>1+559,62143492465i</v>
      </c>
      <c r="R348" s="4">
        <f t="shared" si="322"/>
        <v>559.62232838506748</v>
      </c>
      <c r="S348" s="4">
        <f t="shared" si="323"/>
        <v>1.56900940643547</v>
      </c>
      <c r="T348" s="4" t="str">
        <f t="shared" si="311"/>
        <v>1+1,8955343526409i</v>
      </c>
      <c r="U348" s="4">
        <f t="shared" si="324"/>
        <v>2.1431403318592452</v>
      </c>
      <c r="V348" s="4">
        <f t="shared" si="325"/>
        <v>1.0853479248386038</v>
      </c>
      <c r="W348" t="str">
        <f t="shared" si="312"/>
        <v>1-0,498873907252498i</v>
      </c>
      <c r="X348" s="4">
        <f t="shared" si="326"/>
        <v>1.1175308386516114</v>
      </c>
      <c r="Y348" s="4">
        <f t="shared" si="327"/>
        <v>-0.46274632907681851</v>
      </c>
      <c r="Z348" t="str">
        <f t="shared" si="313"/>
        <v>0,998407571317786+0,0685412399430676i</v>
      </c>
      <c r="AA348" s="4">
        <f t="shared" si="328"/>
        <v>1.0007575031133233</v>
      </c>
      <c r="AB348" s="4">
        <f t="shared" si="329"/>
        <v>6.8543017275569593E-2</v>
      </c>
      <c r="AC348" s="47" t="str">
        <f t="shared" si="330"/>
        <v>0,12327809205842-0,198458866486908i</v>
      </c>
      <c r="AD348" s="20">
        <f t="shared" si="331"/>
        <v>-12.62939338689803</v>
      </c>
      <c r="AE348" s="43">
        <f t="shared" si="332"/>
        <v>-58.152398854800836</v>
      </c>
      <c r="AF348" t="str">
        <f t="shared" si="314"/>
        <v>171,265703090588</v>
      </c>
      <c r="AG348" t="str">
        <f t="shared" si="315"/>
        <v>1+554,265848034624i</v>
      </c>
      <c r="AH348">
        <f t="shared" si="333"/>
        <v>554.26675012807777</v>
      </c>
      <c r="AI348">
        <f t="shared" si="334"/>
        <v>1.5689921403769238</v>
      </c>
      <c r="AJ348" t="str">
        <f t="shared" si="316"/>
        <v>1+1,8955343526409i</v>
      </c>
      <c r="AK348">
        <f t="shared" si="335"/>
        <v>2.1431403318592452</v>
      </c>
      <c r="AL348">
        <f t="shared" si="336"/>
        <v>1.0853479248386038</v>
      </c>
      <c r="AM348" t="str">
        <f t="shared" si="317"/>
        <v>1-0,157611501032636i</v>
      </c>
      <c r="AN348">
        <f t="shared" si="337"/>
        <v>1.0123444992974282</v>
      </c>
      <c r="AO348">
        <f t="shared" si="338"/>
        <v>-0.15632551864075495</v>
      </c>
      <c r="AP348" s="41" t="str">
        <f t="shared" si="339"/>
        <v>0,537732787403947-0,400340328581971i</v>
      </c>
      <c r="AQ348">
        <f t="shared" si="340"/>
        <v>-3.4733897586963791</v>
      </c>
      <c r="AR348" s="43">
        <f t="shared" si="341"/>
        <v>-36.667564784570203</v>
      </c>
      <c r="AS348" t="str">
        <f t="shared" si="318"/>
        <v>-0,0000166666666666667</v>
      </c>
      <c r="AT348" t="str">
        <f t="shared" si="319"/>
        <v>0,00019218612186498i</v>
      </c>
      <c r="AU348">
        <f t="shared" si="342"/>
        <v>1.9218612186498E-4</v>
      </c>
      <c r="AV348">
        <f t="shared" si="343"/>
        <v>1.5707963267948966</v>
      </c>
      <c r="AW348" t="str">
        <f t="shared" si="320"/>
        <v>1+0,890564939076618i</v>
      </c>
      <c r="AX348">
        <f t="shared" si="344"/>
        <v>1.3390690462827302</v>
      </c>
      <c r="AY348">
        <f t="shared" si="345"/>
        <v>0.7275778381566953</v>
      </c>
      <c r="AZ348" t="str">
        <f t="shared" si="321"/>
        <v>1+41,3707894425593i</v>
      </c>
      <c r="BA348">
        <f t="shared" si="346"/>
        <v>41.382873499801534</v>
      </c>
      <c r="BB348">
        <f t="shared" si="347"/>
        <v>1.5466293885858287</v>
      </c>
      <c r="BC348" s="41" t="str">
        <f t="shared" si="348"/>
        <v>-1,95777913945072+1,83025094912012i</v>
      </c>
      <c r="BD348">
        <f t="shared" si="349"/>
        <v>8.5628879757039318</v>
      </c>
      <c r="BE348" s="43">
        <f t="shared" si="350"/>
        <v>136.928197043236</v>
      </c>
      <c r="BF348" s="41" t="str">
        <f t="shared" si="351"/>
        <v>0,121878251765706+0,614168473842745i</v>
      </c>
      <c r="BG348" s="20">
        <f t="shared" si="352"/>
        <v>-4.0665054111940986</v>
      </c>
      <c r="BH348" s="43">
        <f t="shared" si="353"/>
        <v>78.775798188435203</v>
      </c>
      <c r="BI348" s="41" t="str">
        <f t="shared" si="306"/>
        <v>-0,320038767419923+1,76796388849771i</v>
      </c>
      <c r="BJ348" s="20">
        <f t="shared" si="354"/>
        <v>5.0894982170075469</v>
      </c>
      <c r="BK348" s="43">
        <f t="shared" si="307"/>
        <v>100.26063225866579</v>
      </c>
      <c r="BL348">
        <f t="shared" si="355"/>
        <v>-4.0665054111940986</v>
      </c>
      <c r="BM348" s="43">
        <f t="shared" si="356"/>
        <v>78.775798188435203</v>
      </c>
    </row>
    <row r="349" spans="14:65" x14ac:dyDescent="0.25">
      <c r="N349" s="9">
        <v>31</v>
      </c>
      <c r="O349" s="34">
        <f t="shared" si="308"/>
        <v>20417.379446695286</v>
      </c>
      <c r="P349" s="33" t="str">
        <f t="shared" si="309"/>
        <v>54,631621870174</v>
      </c>
      <c r="Q349" s="4" t="str">
        <f t="shared" si="310"/>
        <v>1+572,656692688492i</v>
      </c>
      <c r="R349" s="4">
        <f t="shared" si="322"/>
        <v>572.6575658112987</v>
      </c>
      <c r="S349" s="4">
        <f t="shared" si="323"/>
        <v>1.5690500816251289</v>
      </c>
      <c r="T349" s="4" t="str">
        <f t="shared" si="311"/>
        <v>1+1,93968701968486i</v>
      </c>
      <c r="U349" s="4">
        <f t="shared" si="324"/>
        <v>2.1822891042054748</v>
      </c>
      <c r="V349" s="4">
        <f t="shared" si="325"/>
        <v>1.0947885444642453</v>
      </c>
      <c r="W349" t="str">
        <f t="shared" si="312"/>
        <v>1-0,510494173323199i</v>
      </c>
      <c r="X349" s="4">
        <f t="shared" si="326"/>
        <v>1.1227663608235403</v>
      </c>
      <c r="Y349" s="4">
        <f t="shared" si="327"/>
        <v>-0.47200765934688244</v>
      </c>
      <c r="Z349" t="str">
        <f t="shared" si="313"/>
        <v>0,998332522466119+0,0701377705159746i</v>
      </c>
      <c r="AA349" s="4">
        <f t="shared" si="328"/>
        <v>1.0007932515092794</v>
      </c>
      <c r="AB349" s="4">
        <f t="shared" si="329"/>
        <v>7.0139673127339111E-2</v>
      </c>
      <c r="AC349" s="47" t="str">
        <f t="shared" si="330"/>
        <v>0,122953508492976-0,198581724201753i</v>
      </c>
      <c r="AD349" s="20">
        <f t="shared" si="331"/>
        <v>-12.631872014289321</v>
      </c>
      <c r="AE349" s="43">
        <f t="shared" si="332"/>
        <v>-58.235938489754325</v>
      </c>
      <c r="AF349" t="str">
        <f t="shared" si="314"/>
        <v>171,265703090588</v>
      </c>
      <c r="AG349" t="str">
        <f t="shared" si="315"/>
        <v>1+567,176358154379i</v>
      </c>
      <c r="AH349">
        <f t="shared" si="333"/>
        <v>567.17723971371106</v>
      </c>
      <c r="AI349">
        <f t="shared" si="334"/>
        <v>1.56903320858761</v>
      </c>
      <c r="AJ349" t="str">
        <f t="shared" si="316"/>
        <v>1+1,93968701968486i</v>
      </c>
      <c r="AK349">
        <f t="shared" si="335"/>
        <v>2.1822891042054748</v>
      </c>
      <c r="AL349">
        <f t="shared" si="336"/>
        <v>1.0947885444642453</v>
      </c>
      <c r="AM349" t="str">
        <f t="shared" si="317"/>
        <v>1-0,161282744509546i</v>
      </c>
      <c r="AN349">
        <f t="shared" si="337"/>
        <v>1.0129225654888587</v>
      </c>
      <c r="AO349">
        <f t="shared" si="338"/>
        <v>-0.15990573722008367</v>
      </c>
      <c r="AP349" s="41" t="str">
        <f t="shared" si="339"/>
        <v>0,537707775246837-0,395479148586316i</v>
      </c>
      <c r="AQ349">
        <f t="shared" si="340"/>
        <v>-3.5111972463468488</v>
      </c>
      <c r="AR349" s="43">
        <f t="shared" si="341"/>
        <v>-36.334141573506827</v>
      </c>
      <c r="AS349" t="str">
        <f t="shared" si="318"/>
        <v>-0,0000166666666666667</v>
      </c>
      <c r="AT349" t="str">
        <f t="shared" si="319"/>
        <v>0,000196662711718049i</v>
      </c>
      <c r="AU349">
        <f t="shared" si="342"/>
        <v>1.9666271171804901E-4</v>
      </c>
      <c r="AV349">
        <f t="shared" si="343"/>
        <v>1.5707963267948966</v>
      </c>
      <c r="AW349" t="str">
        <f t="shared" si="320"/>
        <v>1+0,911308861328037i</v>
      </c>
      <c r="AX349">
        <f t="shared" si="344"/>
        <v>1.3529537467094002</v>
      </c>
      <c r="AY349">
        <f t="shared" si="345"/>
        <v>0.73902807434773377</v>
      </c>
      <c r="AZ349" t="str">
        <f t="shared" si="321"/>
        <v>1+42,3344389216934i</v>
      </c>
      <c r="BA349">
        <f t="shared" si="346"/>
        <v>42.346247989811197</v>
      </c>
      <c r="BB349">
        <f t="shared" si="347"/>
        <v>1.5471792883493418</v>
      </c>
      <c r="BC349" s="41" t="str">
        <f t="shared" si="348"/>
        <v>-1,91780187767689+1,83245731237414i</v>
      </c>
      <c r="BD349">
        <f t="shared" si="349"/>
        <v>8.4731742650681046</v>
      </c>
      <c r="BE349" s="43">
        <f t="shared" si="350"/>
        <v>136.30365377066605</v>
      </c>
      <c r="BF349" s="41" t="str">
        <f t="shared" si="351"/>
        <v>0,128092063162576+0,606147459266446i</v>
      </c>
      <c r="BG349" s="20">
        <f t="shared" si="352"/>
        <v>-4.1586977492212158</v>
      </c>
      <c r="BH349" s="43">
        <f t="shared" si="353"/>
        <v>78.067715280911727</v>
      </c>
      <c r="BI349" s="41" t="str">
        <f t="shared" si="306"/>
        <v>-0,306518323291353+1,74377719841239i</v>
      </c>
      <c r="BJ349" s="20">
        <f t="shared" si="354"/>
        <v>4.9619770187212486</v>
      </c>
      <c r="BK349" s="43">
        <f t="shared" si="307"/>
        <v>99.96951219715919</v>
      </c>
      <c r="BL349">
        <f t="shared" si="355"/>
        <v>-4.1586977492212158</v>
      </c>
      <c r="BM349" s="43">
        <f t="shared" si="356"/>
        <v>78.067715280911727</v>
      </c>
    </row>
    <row r="350" spans="14:65" x14ac:dyDescent="0.25">
      <c r="N350" s="9">
        <v>32</v>
      </c>
      <c r="O350" s="34">
        <f t="shared" si="308"/>
        <v>20892.961308540423</v>
      </c>
      <c r="P350" s="33" t="str">
        <f t="shared" si="309"/>
        <v>54,631621870174</v>
      </c>
      <c r="Q350" s="4" t="str">
        <f t="shared" si="310"/>
        <v>1+585,995580610811i</v>
      </c>
      <c r="R350" s="4">
        <f t="shared" si="322"/>
        <v>585.99643385894547</v>
      </c>
      <c r="S350" s="4">
        <f t="shared" si="323"/>
        <v>1.5690898309400165</v>
      </c>
      <c r="T350" s="4" t="str">
        <f t="shared" si="311"/>
        <v>1+1,98486813446147i</v>
      </c>
      <c r="U350" s="4">
        <f t="shared" si="324"/>
        <v>2.2225439278449723</v>
      </c>
      <c r="V350" s="4">
        <f t="shared" si="325"/>
        <v>1.1041039246786488</v>
      </c>
      <c r="W350" t="str">
        <f t="shared" si="312"/>
        <v>1-0,522385110161789i</v>
      </c>
      <c r="X350" s="4">
        <f t="shared" si="326"/>
        <v>1.1282225858928479</v>
      </c>
      <c r="Y350" s="4">
        <f t="shared" si="327"/>
        <v>-0.48139490685398617</v>
      </c>
      <c r="Z350" t="str">
        <f t="shared" si="313"/>
        <v>0,998253936671039+0,0717714890631929i</v>
      </c>
      <c r="AA350" s="4">
        <f t="shared" si="328"/>
        <v>1.0008306893383989</v>
      </c>
      <c r="AB350" s="4">
        <f t="shared" si="329"/>
        <v>7.1773525689611581E-2</v>
      </c>
      <c r="AC350" s="47" t="str">
        <f t="shared" si="330"/>
        <v>0,122614396459771-0,198808507266368i</v>
      </c>
      <c r="AD350" s="20">
        <f t="shared" si="331"/>
        <v>-12.631327006241179</v>
      </c>
      <c r="AE350" s="43">
        <f t="shared" si="332"/>
        <v>-58.335946506457518</v>
      </c>
      <c r="AF350" t="str">
        <f t="shared" si="314"/>
        <v>171,265703090588</v>
      </c>
      <c r="AG350" t="str">
        <f t="shared" si="315"/>
        <v>1+580,387592686698i</v>
      </c>
      <c r="AH350">
        <f t="shared" si="333"/>
        <v>580.38845417931987</v>
      </c>
      <c r="AI350">
        <f t="shared" si="334"/>
        <v>1.5690733419774374</v>
      </c>
      <c r="AJ350" t="str">
        <f t="shared" si="316"/>
        <v>1+1,98486813446147i</v>
      </c>
      <c r="AK350">
        <f t="shared" si="335"/>
        <v>2.2225439278449723</v>
      </c>
      <c r="AL350">
        <f t="shared" si="336"/>
        <v>1.1041039246786488</v>
      </c>
      <c r="AM350" t="str">
        <f t="shared" si="317"/>
        <v>1-0,165039502232427i</v>
      </c>
      <c r="AN350">
        <f t="shared" si="337"/>
        <v>1.0135275217265327</v>
      </c>
      <c r="AO350">
        <f t="shared" si="338"/>
        <v>-0.16356507386420438</v>
      </c>
      <c r="AP350" s="41" t="str">
        <f t="shared" si="339"/>
        <v>0,537683888815395-0,390827652899384i</v>
      </c>
      <c r="AQ350">
        <f t="shared" si="340"/>
        <v>-3.547249258454328</v>
      </c>
      <c r="AR350" s="43">
        <f t="shared" si="341"/>
        <v>-36.012373622042283</v>
      </c>
      <c r="AS350" t="str">
        <f t="shared" si="318"/>
        <v>-0,0000166666666666667</v>
      </c>
      <c r="AT350" t="str">
        <f t="shared" si="319"/>
        <v>0,00020124357474401i</v>
      </c>
      <c r="AU350">
        <f t="shared" si="342"/>
        <v>2.0124357474400999E-4</v>
      </c>
      <c r="AV350">
        <f t="shared" si="343"/>
        <v>1.5707963267948966</v>
      </c>
      <c r="AW350" t="str">
        <f t="shared" si="320"/>
        <v>1+0,932535971600339i</v>
      </c>
      <c r="AX350">
        <f t="shared" si="344"/>
        <v>1.3673417050352075</v>
      </c>
      <c r="AY350">
        <f t="shared" si="345"/>
        <v>0.7505027494206421</v>
      </c>
      <c r="AZ350" t="str">
        <f t="shared" si="321"/>
        <v>1+43,3205346807067i</v>
      </c>
      <c r="BA350">
        <f t="shared" si="346"/>
        <v>43.332075014039106</v>
      </c>
      <c r="BB350">
        <f t="shared" si="347"/>
        <v>1.5477166846705157</v>
      </c>
      <c r="BC350" s="41" t="str">
        <f t="shared" si="348"/>
        <v>-1,87765378985754+1,83379808036419i</v>
      </c>
      <c r="BD350">
        <f t="shared" si="349"/>
        <v>8.3811830473573696</v>
      </c>
      <c r="BE350" s="43">
        <f t="shared" si="350"/>
        <v>135.67699385883338</v>
      </c>
      <c r="BF350" s="41" t="str">
        <f t="shared" si="351"/>
        <v>0,134347272781352+0,598143591977558i</v>
      </c>
      <c r="BG350" s="20">
        <f t="shared" si="352"/>
        <v>-4.2501439588838092</v>
      </c>
      <c r="BH350" s="43">
        <f t="shared" si="353"/>
        <v>77.341047352375838</v>
      </c>
      <c r="BI350" s="41" t="str">
        <f t="shared" si="306"/>
        <v>-0,292885191939434+1,71984270680008i</v>
      </c>
      <c r="BJ350" s="20">
        <f t="shared" si="354"/>
        <v>4.8339337889030434</v>
      </c>
      <c r="BK350" s="43">
        <f t="shared" si="307"/>
        <v>99.66462023679108</v>
      </c>
      <c r="BL350">
        <f t="shared" si="355"/>
        <v>-4.2501439588838092</v>
      </c>
      <c r="BM350" s="43">
        <f t="shared" si="356"/>
        <v>77.341047352375838</v>
      </c>
    </row>
    <row r="351" spans="14:65" x14ac:dyDescent="0.25">
      <c r="N351" s="9">
        <v>33</v>
      </c>
      <c r="O351" s="34">
        <f t="shared" si="308"/>
        <v>21379.620895022348</v>
      </c>
      <c r="P351" s="33" t="str">
        <f t="shared" si="309"/>
        <v>54,631621870174</v>
      </c>
      <c r="Q351" s="4" t="str">
        <f t="shared" si="310"/>
        <v>1+599,645171146533i</v>
      </c>
      <c r="R351" s="4">
        <f t="shared" si="322"/>
        <v>599.6460049723961</v>
      </c>
      <c r="S351" s="4">
        <f t="shared" si="323"/>
        <v>1.5691286754552427</v>
      </c>
      <c r="T351" s="4" t="str">
        <f t="shared" si="311"/>
        <v>1+2,03110165259579i</v>
      </c>
      <c r="U351" s="4">
        <f t="shared" si="324"/>
        <v>2.2639288688422496</v>
      </c>
      <c r="V351" s="4">
        <f t="shared" si="325"/>
        <v>1.1132925368770969</v>
      </c>
      <c r="W351" t="str">
        <f t="shared" si="312"/>
        <v>1-0,534553022500367i</v>
      </c>
      <c r="X351" s="4">
        <f t="shared" si="326"/>
        <v>1.1339078154172313</v>
      </c>
      <c r="Y351" s="4">
        <f t="shared" si="327"/>
        <v>-0.49090643029092895</v>
      </c>
      <c r="Z351" t="str">
        <f t="shared" si="313"/>
        <v>0,998171647241541+0,0734432618039199i</v>
      </c>
      <c r="AA351" s="4">
        <f t="shared" si="328"/>
        <v>1.0008698966705365</v>
      </c>
      <c r="AB351" s="4">
        <f t="shared" si="329"/>
        <v>7.3445441779134993E-2</v>
      </c>
      <c r="AC351" s="47" t="str">
        <f t="shared" si="330"/>
        <v>0,122260043312163-0,199139238592666i</v>
      </c>
      <c r="AD351" s="20">
        <f t="shared" si="331"/>
        <v>-12.62775903598884</v>
      </c>
      <c r="AE351" s="43">
        <f t="shared" si="332"/>
        <v>-58.452467319989779</v>
      </c>
      <c r="AF351" t="str">
        <f t="shared" si="314"/>
        <v>171,265703090588</v>
      </c>
      <c r="AG351" t="str">
        <f t="shared" si="315"/>
        <v>1+593,906556402993i</v>
      </c>
      <c r="AH351">
        <f t="shared" si="333"/>
        <v>593.90739828567678</v>
      </c>
      <c r="AI351">
        <f t="shared" si="334"/>
        <v>1.5691125618251431</v>
      </c>
      <c r="AJ351" t="str">
        <f t="shared" si="316"/>
        <v>1+2,03110165259579i</v>
      </c>
      <c r="AK351">
        <f t="shared" si="335"/>
        <v>2.2639288688422496</v>
      </c>
      <c r="AL351">
        <f t="shared" si="336"/>
        <v>1.1132925368770969</v>
      </c>
      <c r="AM351" t="str">
        <f t="shared" si="317"/>
        <v>1-0,168883766083946i</v>
      </c>
      <c r="AN351">
        <f t="shared" si="337"/>
        <v>1.0141606019002598</v>
      </c>
      <c r="AO351">
        <f t="shared" si="338"/>
        <v>-0.16730507659295582</v>
      </c>
      <c r="AP351" s="41" t="str">
        <f t="shared" si="339"/>
        <v>0,537661077444223-0,386383375501613i</v>
      </c>
      <c r="AQ351">
        <f t="shared" si="340"/>
        <v>-3.5815764192049433</v>
      </c>
      <c r="AR351" s="43">
        <f t="shared" si="341"/>
        <v>-35.702438426960263</v>
      </c>
      <c r="AS351" t="str">
        <f t="shared" si="318"/>
        <v>-0,0000166666666666667</v>
      </c>
      <c r="AT351" t="str">
        <f t="shared" si="319"/>
        <v>0,000205931139777073i</v>
      </c>
      <c r="AU351">
        <f t="shared" si="342"/>
        <v>2.0593113977707299E-4</v>
      </c>
      <c r="AV351">
        <f t="shared" si="343"/>
        <v>1.5707963267948966</v>
      </c>
      <c r="AW351" t="str">
        <f t="shared" si="320"/>
        <v>1+0,954257524788349i</v>
      </c>
      <c r="AX351">
        <f t="shared" si="344"/>
        <v>1.3822472367905774</v>
      </c>
      <c r="AY351">
        <f t="shared" si="345"/>
        <v>0.76199586161916344</v>
      </c>
      <c r="AZ351" t="str">
        <f t="shared" si="321"/>
        <v>1+44,3295995606224i</v>
      </c>
      <c r="BA351">
        <f t="shared" si="346"/>
        <v>44.340877271487685</v>
      </c>
      <c r="BB351">
        <f t="shared" si="347"/>
        <v>1.5482418612417028</v>
      </c>
      <c r="BC351" s="41" t="str">
        <f t="shared" si="348"/>
        <v>-1,83737658685337+1,8342636365206i</v>
      </c>
      <c r="BD351">
        <f t="shared" si="349"/>
        <v>8.2869055446431954</v>
      </c>
      <c r="BE351" s="43">
        <f t="shared" si="350"/>
        <v>135.04857743741604</v>
      </c>
      <c r="BF351" s="41" t="str">
        <f t="shared" si="351"/>
        <v>0,14063612286548+0,590150926160906i</v>
      </c>
      <c r="BG351" s="20">
        <f t="shared" si="352"/>
        <v>-4.3408534913456389</v>
      </c>
      <c r="BH351" s="43">
        <f t="shared" si="353"/>
        <v>76.596110117426264</v>
      </c>
      <c r="BI351" s="41" t="str">
        <f t="shared" si="306"/>
        <v>-0,279156899919679+1,69614393082446i</v>
      </c>
      <c r="BJ351" s="20">
        <f t="shared" si="354"/>
        <v>4.7053291254382401</v>
      </c>
      <c r="BK351" s="43">
        <f t="shared" si="307"/>
        <v>99.346139010455815</v>
      </c>
      <c r="BL351">
        <f t="shared" si="355"/>
        <v>-4.3408534913456389</v>
      </c>
      <c r="BM351" s="43">
        <f t="shared" si="356"/>
        <v>76.596110117426264</v>
      </c>
    </row>
    <row r="352" spans="14:65" x14ac:dyDescent="0.25">
      <c r="N352" s="9">
        <v>34</v>
      </c>
      <c r="O352" s="34">
        <f t="shared" si="308"/>
        <v>21877.61623949555</v>
      </c>
      <c r="P352" s="33" t="str">
        <f t="shared" si="309"/>
        <v>54,631621870174</v>
      </c>
      <c r="Q352" s="4" t="str">
        <f t="shared" si="310"/>
        <v>1+613,612701489241i</v>
      </c>
      <c r="R352" s="4">
        <f t="shared" si="322"/>
        <v>613.61351633493575</v>
      </c>
      <c r="S352" s="4">
        <f t="shared" si="323"/>
        <v>1.5691666357662148</v>
      </c>
      <c r="T352" s="4" t="str">
        <f t="shared" si="311"/>
        <v>1+2,07841208771113i</v>
      </c>
      <c r="U352" s="4">
        <f t="shared" si="324"/>
        <v>2.3064684707022853</v>
      </c>
      <c r="V352" s="4">
        <f t="shared" si="325"/>
        <v>1.1223530456391542</v>
      </c>
      <c r="W352" t="str">
        <f t="shared" si="312"/>
        <v>1-0,547004361927122i</v>
      </c>
      <c r="X352" s="4">
        <f t="shared" si="326"/>
        <v>1.1398305891523082</v>
      </c>
      <c r="Y352" s="4">
        <f t="shared" si="327"/>
        <v>-0.50054038796365841</v>
      </c>
      <c r="Z352" t="str">
        <f t="shared" si="313"/>
        <v>0,998085479630709+0,075153975134192i</v>
      </c>
      <c r="AA352" s="4">
        <f t="shared" si="328"/>
        <v>1.0009109573923813</v>
      </c>
      <c r="AB352" s="4">
        <f t="shared" si="329"/>
        <v>7.5156308428913757E-2</v>
      </c>
      <c r="AC352" s="47" t="str">
        <f t="shared" si="330"/>
        <v>0,121889704717417-0,199573989252538i</v>
      </c>
      <c r="AD352" s="20">
        <f t="shared" si="331"/>
        <v>-12.621168747440507</v>
      </c>
      <c r="AE352" s="43">
        <f t="shared" si="332"/>
        <v>-58.585523926287379</v>
      </c>
      <c r="AF352" t="str">
        <f t="shared" si="314"/>
        <v>171,265703090588</v>
      </c>
      <c r="AG352" t="str">
        <f t="shared" si="315"/>
        <v>1+607,740417236778i</v>
      </c>
      <c r="AH352">
        <f t="shared" si="333"/>
        <v>607.74123995589844</v>
      </c>
      <c r="AI352">
        <f t="shared" si="334"/>
        <v>1.5691508889251267</v>
      </c>
      <c r="AJ352" t="str">
        <f t="shared" si="316"/>
        <v>1+2,07841208771113i</v>
      </c>
      <c r="AK352">
        <f t="shared" si="335"/>
        <v>2.3064684707022853</v>
      </c>
      <c r="AL352">
        <f t="shared" si="336"/>
        <v>1.1223530456391542</v>
      </c>
      <c r="AM352" t="str">
        <f t="shared" si="317"/>
        <v>1-0,172817574343684i</v>
      </c>
      <c r="AN352">
        <f t="shared" si="337"/>
        <v>1.0148230949293748</v>
      </c>
      <c r="AO352">
        <f t="shared" si="338"/>
        <v>-0.17112730968424369</v>
      </c>
      <c r="AP352" s="41" t="str">
        <f t="shared" si="339"/>
        <v>0,537639292748186-0,382143960225633i</v>
      </c>
      <c r="AQ352">
        <f t="shared" si="340"/>
        <v>-3.6142088289312433</v>
      </c>
      <c r="AR352" s="43">
        <f t="shared" si="341"/>
        <v>-35.404503320169184</v>
      </c>
      <c r="AS352" t="str">
        <f t="shared" si="318"/>
        <v>-0,0000166666666666667</v>
      </c>
      <c r="AT352" t="str">
        <f t="shared" si="319"/>
        <v>0,000210727892226268i</v>
      </c>
      <c r="AU352">
        <f t="shared" si="342"/>
        <v>2.1072789222626801E-4</v>
      </c>
      <c r="AV352">
        <f t="shared" si="343"/>
        <v>1.5707963267948966</v>
      </c>
      <c r="AW352" t="str">
        <f t="shared" si="320"/>
        <v>1+0,976485037947097i</v>
      </c>
      <c r="AX352">
        <f t="shared" si="344"/>
        <v>1.3976848819868315</v>
      </c>
      <c r="AY352">
        <f t="shared" si="345"/>
        <v>0.77350136063761687</v>
      </c>
      <c r="AZ352" t="str">
        <f t="shared" si="321"/>
        <v>1+45,362168580997i</v>
      </c>
      <c r="BA352">
        <f t="shared" si="346"/>
        <v>45.373189642902467</v>
      </c>
      <c r="BB352">
        <f t="shared" si="347"/>
        <v>1.5487550953590159</v>
      </c>
      <c r="BC352" s="41" t="str">
        <f t="shared" si="348"/>
        <v>-1,79701252255757+1,83384677931772i</v>
      </c>
      <c r="BD352">
        <f t="shared" si="349"/>
        <v>8.1903353820049833</v>
      </c>
      <c r="BE352" s="43">
        <f t="shared" si="350"/>
        <v>134.41876705129073</v>
      </c>
      <c r="BF352" s="41" t="str">
        <f t="shared" si="351"/>
        <v>0,146950791678313+0,582164000291604i</v>
      </c>
      <c r="BG352" s="20">
        <f t="shared" si="352"/>
        <v>-4.4308333654355216</v>
      </c>
      <c r="BH352" s="43">
        <f t="shared" si="353"/>
        <v>75.833243125003392</v>
      </c>
      <c r="BI352" s="41" t="str">
        <f t="shared" si="306"/>
        <v>-0,26535107099199+1,67266556738612i</v>
      </c>
      <c r="BJ352" s="20">
        <f t="shared" si="354"/>
        <v>4.5761265530737285</v>
      </c>
      <c r="BK352" s="43">
        <f t="shared" si="307"/>
        <v>99.014263731121588</v>
      </c>
      <c r="BL352">
        <f t="shared" si="355"/>
        <v>-4.4308333654355216</v>
      </c>
      <c r="BM352" s="43">
        <f t="shared" si="356"/>
        <v>75.833243125003392</v>
      </c>
    </row>
    <row r="353" spans="14:65" x14ac:dyDescent="0.25">
      <c r="N353" s="9">
        <v>35</v>
      </c>
      <c r="O353" s="34">
        <f t="shared" si="308"/>
        <v>22387.211385683382</v>
      </c>
      <c r="P353" s="33" t="str">
        <f t="shared" si="309"/>
        <v>54,631621870174</v>
      </c>
      <c r="Q353" s="4" t="str">
        <f t="shared" si="310"/>
        <v>1+627,905577408399i</v>
      </c>
      <c r="R353" s="4">
        <f t="shared" si="322"/>
        <v>627.90637370596505</v>
      </c>
      <c r="S353" s="4">
        <f t="shared" si="323"/>
        <v>1.5692037319995542</v>
      </c>
      <c r="T353" s="4" t="str">
        <f t="shared" si="311"/>
        <v>1+2,12682452442641i</v>
      </c>
      <c r="U353" s="4">
        <f t="shared" si="324"/>
        <v>2.3501877707327186</v>
      </c>
      <c r="V353" s="4">
        <f t="shared" si="325"/>
        <v>1.1312843035698874</v>
      </c>
      <c r="W353" t="str">
        <f t="shared" si="312"/>
        <v>1-0,559745730307027i</v>
      </c>
      <c r="X353" s="4">
        <f t="shared" si="326"/>
        <v>1.14599968699688</v>
      </c>
      <c r="Y353" s="4">
        <f t="shared" si="327"/>
        <v>-0.51029473387247215</v>
      </c>
      <c r="Z353" t="str">
        <f t="shared" si="313"/>
        <v>0,997995251065491+0,0769045360968604i</v>
      </c>
      <c r="AA353" s="4">
        <f t="shared" si="328"/>
        <v>1.0009539593915127</v>
      </c>
      <c r="AB353" s="4">
        <f t="shared" si="329"/>
        <v>7.6907033360598731E-2</v>
      </c>
      <c r="AC353" s="47" t="str">
        <f t="shared" si="330"/>
        <v>0,121502603139895-0,200112878021051i</v>
      </c>
      <c r="AD353" s="20">
        <f t="shared" si="331"/>
        <v>-12.611556768706997</v>
      </c>
      <c r="AE353" s="43">
        <f t="shared" si="332"/>
        <v>-58.735118000879567</v>
      </c>
      <c r="AF353" t="str">
        <f t="shared" si="314"/>
        <v>171,265703090588</v>
      </c>
      <c r="AG353" t="str">
        <f t="shared" si="315"/>
        <v>1+621,896510084174i</v>
      </c>
      <c r="AH353">
        <f t="shared" si="333"/>
        <v>621.89731407594547</v>
      </c>
      <c r="AI353">
        <f t="shared" si="334"/>
        <v>1.569188343598473</v>
      </c>
      <c r="AJ353" t="str">
        <f t="shared" si="316"/>
        <v>1+2,12682452442641i</v>
      </c>
      <c r="AK353">
        <f t="shared" si="335"/>
        <v>2.3501877707327186</v>
      </c>
      <c r="AL353">
        <f t="shared" si="336"/>
        <v>1.1312843035698874</v>
      </c>
      <c r="AM353" t="str">
        <f t="shared" si="317"/>
        <v>1-0,17684301276885i</v>
      </c>
      <c r="AN353">
        <f t="shared" si="337"/>
        <v>1.0155163470693929</v>
      </c>
      <c r="AO353">
        <f t="shared" si="338"/>
        <v>-0.17503335278639157</v>
      </c>
      <c r="AP353" s="41" t="str">
        <f t="shared" si="339"/>
        <v>0,537618488519794-0,378107159508174i</v>
      </c>
      <c r="AQ353">
        <f t="shared" si="340"/>
        <v>-3.6451759701729629</v>
      </c>
      <c r="AR353" s="43">
        <f t="shared" si="341"/>
        <v>-35.118725714050413</v>
      </c>
      <c r="AS353" t="str">
        <f t="shared" si="318"/>
        <v>-0,0000166666666666667</v>
      </c>
      <c r="AT353" t="str">
        <f t="shared" si="319"/>
        <v>0,000215636375393233i</v>
      </c>
      <c r="AU353">
        <f t="shared" si="342"/>
        <v>2.15636375393233E-4</v>
      </c>
      <c r="AV353">
        <f t="shared" si="343"/>
        <v>1.5707963267948966</v>
      </c>
      <c r="AW353" t="str">
        <f t="shared" si="320"/>
        <v>1+0,999230296398266i</v>
      </c>
      <c r="AX353">
        <f t="shared" si="344"/>
        <v>1.4136694045073503</v>
      </c>
      <c r="AY353">
        <f t="shared" si="345"/>
        <v>0.78501316344767214</v>
      </c>
      <c r="AZ353" t="str">
        <f t="shared" si="321"/>
        <v>1+46,4187892235922i</v>
      </c>
      <c r="BA353">
        <f t="shared" si="346"/>
        <v>46.429559474372354</v>
      </c>
      <c r="BB353">
        <f t="shared" si="347"/>
        <v>1.5492566580638318</v>
      </c>
      <c r="BC353" s="41" t="str">
        <f t="shared" si="348"/>
        <v>-1,75660421765805+1,83254276155465i</v>
      </c>
      <c r="BD353">
        <f t="shared" si="349"/>
        <v>8.091468613002144</v>
      </c>
      <c r="BE353" s="43">
        <f t="shared" si="350"/>
        <v>133.78792676183491</v>
      </c>
      <c r="BF353" s="41" t="str">
        <f t="shared" si="351"/>
        <v>0,153283420979374+0,574177841433531i</v>
      </c>
      <c r="BG353" s="20">
        <f t="shared" si="352"/>
        <v>-4.5200881557048502</v>
      </c>
      <c r="BH353" s="43">
        <f t="shared" si="353"/>
        <v>75.052808760955344</v>
      </c>
      <c r="BI353" s="41" t="str">
        <f t="shared" si="306"/>
        <v>-0,251485366176122+1,64939350073366i</v>
      </c>
      <c r="BJ353" s="20">
        <f t="shared" si="354"/>
        <v>4.446292642829162</v>
      </c>
      <c r="BK353" s="43">
        <f t="shared" si="307"/>
        <v>98.669201047784512</v>
      </c>
      <c r="BL353">
        <f t="shared" si="355"/>
        <v>-4.5200881557048502</v>
      </c>
      <c r="BM353" s="43">
        <f t="shared" si="356"/>
        <v>75.052808760955344</v>
      </c>
    </row>
    <row r="354" spans="14:65" x14ac:dyDescent="0.25">
      <c r="N354" s="9">
        <v>36</v>
      </c>
      <c r="O354" s="34">
        <f t="shared" si="308"/>
        <v>22908.676527677751</v>
      </c>
      <c r="P354" s="33" t="str">
        <f t="shared" si="309"/>
        <v>54,631621870174</v>
      </c>
      <c r="Q354" s="4" t="str">
        <f t="shared" si="310"/>
        <v>1+642,53137717602i</v>
      </c>
      <c r="R354" s="4">
        <f t="shared" si="322"/>
        <v>642.53215534766264</v>
      </c>
      <c r="S354" s="4">
        <f t="shared" si="323"/>
        <v>1.5692399838237661</v>
      </c>
      <c r="T354" s="4" t="str">
        <f t="shared" si="311"/>
        <v>1+2,1763646316564i</v>
      </c>
      <c r="U354" s="4">
        <f t="shared" si="324"/>
        <v>2.3951123167661468</v>
      </c>
      <c r="V354" s="4">
        <f t="shared" si="325"/>
        <v>1.1400853457568578</v>
      </c>
      <c r="W354" t="str">
        <f t="shared" si="312"/>
        <v>1-0,572783883282257i</v>
      </c>
      <c r="X354" s="4">
        <f t="shared" si="326"/>
        <v>1.1524241306688707</v>
      </c>
      <c r="Y354" s="4">
        <f t="shared" si="327"/>
        <v>-0.52016721437413549</v>
      </c>
      <c r="Z354" t="str">
        <f t="shared" si="313"/>
        <v>0,997900770159001+0,07869587286252i</v>
      </c>
      <c r="AA354" s="4">
        <f t="shared" si="328"/>
        <v>1.0009989947495059</v>
      </c>
      <c r="AB354" s="4">
        <f t="shared" si="329"/>
        <v>7.8698545467955738E-2</v>
      </c>
      <c r="AC354" s="47" t="str">
        <f t="shared" si="330"/>
        <v>0,121097926259805-0,200756070909803i</v>
      </c>
      <c r="AD354" s="20">
        <f t="shared" si="331"/>
        <v>-12.598923734872907</v>
      </c>
      <c r="AE354" s="43">
        <f t="shared" si="332"/>
        <v>-58.901230053545149</v>
      </c>
      <c r="AF354" t="str">
        <f t="shared" si="314"/>
        <v>171,265703090588</v>
      </c>
      <c r="AG354" t="str">
        <f t="shared" si="315"/>
        <v>1+636,382340692996i</v>
      </c>
      <c r="AH354">
        <f t="shared" si="333"/>
        <v>636.38312638370326</v>
      </c>
      <c r="AI354">
        <f t="shared" si="334"/>
        <v>1.5692249457037253</v>
      </c>
      <c r="AJ354" t="str">
        <f t="shared" si="316"/>
        <v>1+2,1763646316564i</v>
      </c>
      <c r="AK354">
        <f t="shared" si="335"/>
        <v>2.3951123167661468</v>
      </c>
      <c r="AL354">
        <f t="shared" si="336"/>
        <v>1.1400853457568578</v>
      </c>
      <c r="AM354" t="str">
        <f t="shared" si="317"/>
        <v>1-0,180962215700181i</v>
      </c>
      <c r="AN354">
        <f t="shared" si="337"/>
        <v>1.0162417643017427</v>
      </c>
      <c r="AO354">
        <f t="shared" si="338"/>
        <v>-0.17902479993626255</v>
      </c>
      <c r="AP354" s="41" t="str">
        <f t="shared" si="339"/>
        <v>0,537598620631185-0,374270833199478i</v>
      </c>
      <c r="AQ354">
        <f t="shared" si="340"/>
        <v>-3.6745066183079533</v>
      </c>
      <c r="AR354" s="43">
        <f t="shared" si="341"/>
        <v>-34.84525336340981</v>
      </c>
      <c r="AS354" t="str">
        <f t="shared" si="318"/>
        <v>-0,0000166666666666667</v>
      </c>
      <c r="AT354" t="str">
        <f t="shared" si="319"/>
        <v>0,000220659191820718i</v>
      </c>
      <c r="AU354">
        <f t="shared" si="342"/>
        <v>2.20659191820718E-4</v>
      </c>
      <c r="AV354">
        <f t="shared" si="343"/>
        <v>1.5707963267948966</v>
      </c>
      <c r="AW354" t="str">
        <f t="shared" si="320"/>
        <v>1+1,02250535997897i</v>
      </c>
      <c r="AX354">
        <f t="shared" si="344"/>
        <v>1.4302157918250389</v>
      </c>
      <c r="AY354">
        <f t="shared" si="345"/>
        <v>0.79652517033561787</v>
      </c>
      <c r="AZ354" t="str">
        <f t="shared" si="321"/>
        <v>1+47,5000217226596i</v>
      </c>
      <c r="BA354">
        <f t="shared" si="346"/>
        <v>47.510546867544413</v>
      </c>
      <c r="BB354">
        <f t="shared" si="347"/>
        <v>1.5497468142813522</v>
      </c>
      <c r="BC354" s="41" t="str">
        <f t="shared" si="348"/>
        <v>-1,7161944801158+1,83034931413124i</v>
      </c>
      <c r="BD354">
        <f t="shared" si="349"/>
        <v>7.9903037350249564</v>
      </c>
      <c r="BE354" s="43">
        <f t="shared" si="350"/>
        <v>133.15642123599608</v>
      </c>
      <c r="BF354" s="41" t="str">
        <f t="shared" si="351"/>
        <v>0,159626144096893+0,56618796701749i</v>
      </c>
      <c r="BG354" s="20">
        <f t="shared" si="352"/>
        <v>-4.6086199998479414</v>
      </c>
      <c r="BH354" s="43">
        <f t="shared" si="353"/>
        <v>74.255191182450915</v>
      </c>
      <c r="BI354" s="41" t="str">
        <f t="shared" si="306"/>
        <v>-0,237577422399116+1,62631480455548i</v>
      </c>
      <c r="BJ354" s="20">
        <f t="shared" si="354"/>
        <v>4.315797116717027</v>
      </c>
      <c r="BK354" s="43">
        <f t="shared" si="307"/>
        <v>98.311167872586239</v>
      </c>
      <c r="BL354">
        <f t="shared" si="355"/>
        <v>-4.6086199998479414</v>
      </c>
      <c r="BM354" s="43">
        <f t="shared" si="356"/>
        <v>74.255191182450915</v>
      </c>
    </row>
    <row r="355" spans="14:65" x14ac:dyDescent="0.25">
      <c r="N355" s="9">
        <v>37</v>
      </c>
      <c r="O355" s="34">
        <f t="shared" si="308"/>
        <v>23442.288153199243</v>
      </c>
      <c r="P355" s="33" t="str">
        <f t="shared" si="309"/>
        <v>54,631621870174</v>
      </c>
      <c r="Q355" s="4" t="str">
        <f t="shared" si="310"/>
        <v>1+657,497855584724i</v>
      </c>
      <c r="R355" s="4">
        <f t="shared" si="322"/>
        <v>657.49861604303817</v>
      </c>
      <c r="S355" s="4">
        <f t="shared" si="323"/>
        <v>1.5692754104596662</v>
      </c>
      <c r="T355" s="4" t="str">
        <f t="shared" si="311"/>
        <v>1+2,22705867622168i</v>
      </c>
      <c r="U355" s="4">
        <f t="shared" si="324"/>
        <v>2.4412681842301267</v>
      </c>
      <c r="V355" s="4">
        <f t="shared" si="325"/>
        <v>1.1487553838959788</v>
      </c>
      <c r="W355" t="str">
        <f t="shared" si="312"/>
        <v>1-0,586125733854092i</v>
      </c>
      <c r="X355" s="4">
        <f t="shared" si="326"/>
        <v>1.1591131851057506</v>
      </c>
      <c r="Y355" s="4">
        <f t="shared" si="327"/>
        <v>-0.53015536547953657</v>
      </c>
      <c r="Z355" t="str">
        <f t="shared" si="313"/>
        <v>0,997801836504569+0,080528935221634i</v>
      </c>
      <c r="AA355" s="4">
        <f t="shared" si="328"/>
        <v>1.0010461599445954</v>
      </c>
      <c r="AB355" s="4">
        <f t="shared" si="329"/>
        <v>8.0531795311655052E-2</v>
      </c>
      <c r="AC355" s="47" t="str">
        <f t="shared" si="330"/>
        <v>0,120674825324751-0,201503780687717i</v>
      </c>
      <c r="AD355" s="20">
        <f t="shared" si="331"/>
        <v>-12.583270319795712</v>
      </c>
      <c r="AE355" s="43">
        <f t="shared" si="332"/>
        <v>-59.083819638990931</v>
      </c>
      <c r="AF355" t="str">
        <f t="shared" si="314"/>
        <v>171,265703090588</v>
      </c>
      <c r="AG355" t="str">
        <f t="shared" si="315"/>
        <v>1+651,205589642367i</v>
      </c>
      <c r="AH355">
        <f t="shared" si="333"/>
        <v>651.20635744859169</v>
      </c>
      <c r="AI355">
        <f t="shared" si="334"/>
        <v>1.5692607146474116</v>
      </c>
      <c r="AJ355" t="str">
        <f t="shared" si="316"/>
        <v>1+2,22705867622168i</v>
      </c>
      <c r="AK355">
        <f t="shared" si="335"/>
        <v>2.4412681842301267</v>
      </c>
      <c r="AL355">
        <f t="shared" si="336"/>
        <v>1.1487553838959788</v>
      </c>
      <c r="AM355" t="str">
        <f t="shared" si="317"/>
        <v>1-0,185177367193593i</v>
      </c>
      <c r="AN355">
        <f t="shared" si="337"/>
        <v>1.0170008148083023</v>
      </c>
      <c r="AO355">
        <f t="shared" si="338"/>
        <v>-0.18310325847753936</v>
      </c>
      <c r="AP355" s="41" t="str">
        <f t="shared" si="339"/>
        <v>0,537579646940549-0,370632947429599i</v>
      </c>
      <c r="AQ355">
        <f t="shared" si="340"/>
        <v>-3.702228756834562</v>
      </c>
      <c r="AR355" s="43">
        <f t="shared" si="341"/>
        <v>-34.584224640665774</v>
      </c>
      <c r="AS355" t="str">
        <f t="shared" si="318"/>
        <v>-0,0000166666666666667</v>
      </c>
      <c r="AT355" t="str">
        <f t="shared" si="319"/>
        <v>0,000225799004672475i</v>
      </c>
      <c r="AU355">
        <f t="shared" si="342"/>
        <v>2.25799004672475E-4</v>
      </c>
      <c r="AV355">
        <f t="shared" si="343"/>
        <v>1.5707963267948966</v>
      </c>
      <c r="AW355" t="str">
        <f t="shared" si="320"/>
        <v>1+1,04632256943599i</v>
      </c>
      <c r="AX355">
        <f t="shared" si="344"/>
        <v>1.4473392550853901</v>
      </c>
      <c r="AY355">
        <f t="shared" si="345"/>
        <v>0.80803128104719346</v>
      </c>
      <c r="AZ355" t="str">
        <f t="shared" si="321"/>
        <v>1+48,6064393619812i</v>
      </c>
      <c r="BA355">
        <f t="shared" si="346"/>
        <v>48.616724976595819</v>
      </c>
      <c r="BB355">
        <f t="shared" si="347"/>
        <v>1.5502258229562582</v>
      </c>
      <c r="BC355" s="41" t="str">
        <f t="shared" si="348"/>
        <v>-1,67582612396145+1,82726665402809i</v>
      </c>
      <c r="BD355">
        <f t="shared" si="349"/>
        <v>7.8868416943821256</v>
      </c>
      <c r="BE355" s="43">
        <f t="shared" si="350"/>
        <v>132.52461482903499</v>
      </c>
      <c r="BF355" s="41" t="str">
        <f t="shared" si="351"/>
        <v>0,165971114327552+0,558190384050057i</v>
      </c>
      <c r="BG355" s="20">
        <f t="shared" si="352"/>
        <v>-4.6964286254135832</v>
      </c>
      <c r="BH355" s="43">
        <f t="shared" si="353"/>
        <v>73.440795190044099</v>
      </c>
      <c r="BI355" s="41" t="str">
        <f t="shared" si="306"/>
        <v>-0,223644790330693+1,60341773844201i</v>
      </c>
      <c r="BJ355" s="20">
        <f t="shared" si="354"/>
        <v>4.1846129375475547</v>
      </c>
      <c r="BK355" s="43">
        <f t="shared" si="307"/>
        <v>97.940390188369236</v>
      </c>
      <c r="BL355">
        <f t="shared" si="355"/>
        <v>-4.6964286254135832</v>
      </c>
      <c r="BM355" s="43">
        <f t="shared" si="356"/>
        <v>73.440795190044099</v>
      </c>
    </row>
    <row r="356" spans="14:65" x14ac:dyDescent="0.25">
      <c r="N356" s="9">
        <v>38</v>
      </c>
      <c r="O356" s="34">
        <f t="shared" si="308"/>
        <v>23988.329190194923</v>
      </c>
      <c r="P356" s="33" t="str">
        <f t="shared" si="309"/>
        <v>54,631621870174</v>
      </c>
      <c r="Q356" s="4" t="str">
        <f t="shared" si="310"/>
        <v>1+672,812948059469i</v>
      </c>
      <c r="R356" s="4">
        <f t="shared" si="322"/>
        <v>672.81369120765794</v>
      </c>
      <c r="S356" s="4">
        <f t="shared" si="323"/>
        <v>1.5693100306905701</v>
      </c>
      <c r="T356" s="4" t="str">
        <f t="shared" si="311"/>
        <v>1+2,2789335367757i</v>
      </c>
      <c r="U356" s="4">
        <f t="shared" si="324"/>
        <v>2.488681993554219</v>
      </c>
      <c r="V356" s="4">
        <f t="shared" si="325"/>
        <v>1.1572938001377771</v>
      </c>
      <c r="W356" t="str">
        <f t="shared" si="312"/>
        <v>1-0,599778356048305i</v>
      </c>
      <c r="X356" s="4">
        <f t="shared" si="326"/>
        <v>1.1660763595854293</v>
      </c>
      <c r="Y356" s="4">
        <f t="shared" si="327"/>
        <v>-0.54025651084035975</v>
      </c>
      <c r="Z356" t="str">
        <f t="shared" si="313"/>
        <v>0,997698240250651+0,0824046950881286i</v>
      </c>
      <c r="AA356" s="4">
        <f t="shared" si="328"/>
        <v>1.0010955560643615</v>
      </c>
      <c r="AB356" s="4">
        <f t="shared" si="329"/>
        <v>8.2407755625660065E-2</v>
      </c>
      <c r="AC356" s="47" t="str">
        <f t="shared" si="330"/>
        <v>0,120232413431184-0,202356266386306i</v>
      </c>
      <c r="AD356" s="20">
        <f t="shared" si="331"/>
        <v>-12.56459727663022</v>
      </c>
      <c r="AE356" s="43">
        <f t="shared" si="332"/>
        <v>-59.282825623676239</v>
      </c>
      <c r="AF356" t="str">
        <f t="shared" si="314"/>
        <v>171,265703090588</v>
      </c>
      <c r="AG356" t="str">
        <f t="shared" si="315"/>
        <v>1+666,374116415089i</v>
      </c>
      <c r="AH356">
        <f t="shared" si="333"/>
        <v>666.37486674393017</v>
      </c>
      <c r="AI356">
        <f t="shared" si="334"/>
        <v>1.569295669394333</v>
      </c>
      <c r="AJ356" t="str">
        <f t="shared" si="316"/>
        <v>1+2,2789335367757i</v>
      </c>
      <c r="AK356">
        <f t="shared" si="335"/>
        <v>2.488681993554219</v>
      </c>
      <c r="AL356">
        <f t="shared" si="336"/>
        <v>1.1572938001377771</v>
      </c>
      <c r="AM356" t="str">
        <f t="shared" si="317"/>
        <v>1-0,189490702178204i</v>
      </c>
      <c r="AN356">
        <f t="shared" si="337"/>
        <v>1.0177950315323752</v>
      </c>
      <c r="AO356">
        <f t="shared" si="338"/>
        <v>-0.18727034787341296</v>
      </c>
      <c r="AP356" s="41" t="str">
        <f t="shared" si="339"/>
        <v>0,537561527202725-0,367191573530973i</v>
      </c>
      <c r="AQ356">
        <f t="shared" si="340"/>
        <v>-3.7283694973515713</v>
      </c>
      <c r="AR356" s="43">
        <f t="shared" si="341"/>
        <v>-34.335768820994737</v>
      </c>
      <c r="AS356" t="str">
        <f t="shared" si="318"/>
        <v>-0,0000166666666666667</v>
      </c>
      <c r="AT356" t="str">
        <f t="shared" si="319"/>
        <v>0,000231058539145313i</v>
      </c>
      <c r="AU356">
        <f t="shared" si="342"/>
        <v>2.31058539145313E-4</v>
      </c>
      <c r="AV356">
        <f t="shared" si="343"/>
        <v>1.5707963267948966</v>
      </c>
      <c r="AW356" t="str">
        <f t="shared" si="320"/>
        <v>1+1,07069455296904i</v>
      </c>
      <c r="AX356">
        <f t="shared" si="344"/>
        <v>1.4650552295929229</v>
      </c>
      <c r="AY356">
        <f t="shared" si="345"/>
        <v>0.81952541093595499</v>
      </c>
      <c r="AZ356" t="str">
        <f t="shared" si="321"/>
        <v>1+49,7386287788346i</v>
      </c>
      <c r="BA356">
        <f t="shared" si="346"/>
        <v>49.748680312132038</v>
      </c>
      <c r="BB356">
        <f t="shared" si="347"/>
        <v>1.5506939371855204</v>
      </c>
      <c r="BC356" s="41" t="str">
        <f t="shared" si="348"/>
        <v>-1,63554178803709+1,82329747638884i</v>
      </c>
      <c r="BD356">
        <f t="shared" si="349"/>
        <v>7.781085881074592</v>
      </c>
      <c r="BE356" s="43">
        <f t="shared" si="350"/>
        <v>131.89287066690028</v>
      </c>
      <c r="BF356" s="41" t="str">
        <f t="shared" si="351"/>
        <v>0,172310533390366+0,550181585735186i</v>
      </c>
      <c r="BG356" s="20">
        <f t="shared" si="352"/>
        <v>-4.7835113955556272</v>
      </c>
      <c r="BH356" s="43">
        <f t="shared" si="353"/>
        <v>72.610045043224062</v>
      </c>
      <c r="BI356" s="41" t="str">
        <f t="shared" si="306"/>
        <v>-0,209704872010823+1,58069173867746i</v>
      </c>
      <c r="BJ356" s="20">
        <f t="shared" si="354"/>
        <v>4.0527163837230233</v>
      </c>
      <c r="BK356" s="43">
        <f t="shared" si="307"/>
        <v>97.557101845905521</v>
      </c>
      <c r="BL356">
        <f t="shared" si="355"/>
        <v>-4.7835113955556272</v>
      </c>
      <c r="BM356" s="43">
        <f t="shared" si="356"/>
        <v>72.610045043224062</v>
      </c>
    </row>
    <row r="357" spans="14:65" x14ac:dyDescent="0.25">
      <c r="N357" s="9">
        <v>39</v>
      </c>
      <c r="O357" s="34">
        <f t="shared" si="308"/>
        <v>24547.089156850321</v>
      </c>
      <c r="P357" s="33" t="str">
        <f t="shared" si="309"/>
        <v>54,631621870174</v>
      </c>
      <c r="Q357" s="4" t="str">
        <f t="shared" si="310"/>
        <v>1+688,484774865008i</v>
      </c>
      <c r="R357" s="4">
        <f t="shared" si="322"/>
        <v>688.48550109709697</v>
      </c>
      <c r="S357" s="4">
        <f t="shared" si="323"/>
        <v>1.5693438628722503</v>
      </c>
      <c r="T357" s="4" t="str">
        <f t="shared" si="311"/>
        <v>1+2,33201671805616i</v>
      </c>
      <c r="U357" s="4">
        <f t="shared" si="324"/>
        <v>2.5373809279044846</v>
      </c>
      <c r="V357" s="4">
        <f t="shared" si="325"/>
        <v>1.1657001407035443</v>
      </c>
      <c r="W357" t="str">
        <f t="shared" si="312"/>
        <v>1-0,6137489886659i</v>
      </c>
      <c r="X357" s="4">
        <f t="shared" si="326"/>
        <v>1.1733234085657778</v>
      </c>
      <c r="Y357" s="4">
        <f t="shared" si="327"/>
        <v>-0.55046776047613954</v>
      </c>
      <c r="Z357" t="str">
        <f t="shared" si="313"/>
        <v>0,997589761655703+0,0843241470147141i</v>
      </c>
      <c r="AA357" s="4">
        <f t="shared" si="328"/>
        <v>1.0011472890289628</v>
      </c>
      <c r="AB357" s="4">
        <f t="shared" si="329"/>
        <v>8.432742183547362E-2</v>
      </c>
      <c r="AC357" s="47" t="str">
        <f t="shared" si="330"/>
        <v>0,119769763732845-0,203313832786398i</v>
      </c>
      <c r="AD357" s="20">
        <f t="shared" si="331"/>
        <v>-12.542905486679954</v>
      </c>
      <c r="AE357" s="43">
        <f t="shared" si="332"/>
        <v>-59.498166508911169</v>
      </c>
      <c r="AF357" t="str">
        <f t="shared" si="314"/>
        <v>171,265703090588</v>
      </c>
      <c r="AG357" t="str">
        <f t="shared" si="315"/>
        <v>1+681,895963564838i</v>
      </c>
      <c r="AH357">
        <f t="shared" si="333"/>
        <v>681.89669681412806</v>
      </c>
      <c r="AI357">
        <f t="shared" si="334"/>
        <v>1.5693298284776172</v>
      </c>
      <c r="AJ357" t="str">
        <f t="shared" si="316"/>
        <v>1+2,33201671805616i</v>
      </c>
      <c r="AK357">
        <f t="shared" si="335"/>
        <v>2.5373809279044846</v>
      </c>
      <c r="AL357">
        <f t="shared" si="336"/>
        <v>1.1657001407035443</v>
      </c>
      <c r="AM357" t="str">
        <f t="shared" si="317"/>
        <v>1-0,193904507641315i</v>
      </c>
      <c r="AN357">
        <f t="shared" si="337"/>
        <v>1.0186260148276307</v>
      </c>
      <c r="AO357">
        <f t="shared" si="338"/>
        <v>-0.19152769840771353</v>
      </c>
      <c r="AP357" s="41" t="str">
        <f t="shared" si="339"/>
        <v>0,537544222983853-0,363944887016702i</v>
      </c>
      <c r="AQ357">
        <f t="shared" si="340"/>
        <v>-3.7529550042468851</v>
      </c>
      <c r="AR357" s="43">
        <f t="shared" si="341"/>
        <v>-34.100006374254065</v>
      </c>
      <c r="AS357" t="str">
        <f t="shared" si="318"/>
        <v>-0,0000166666666666667</v>
      </c>
      <c r="AT357" t="str">
        <f t="shared" si="319"/>
        <v>0,000236440583914027i</v>
      </c>
      <c r="AU357">
        <f t="shared" si="342"/>
        <v>2.36440583914027E-4</v>
      </c>
      <c r="AV357">
        <f t="shared" si="343"/>
        <v>1.5707963267948966</v>
      </c>
      <c r="AW357" t="str">
        <f t="shared" si="320"/>
        <v>1+1,09563423292639i</v>
      </c>
      <c r="AX357">
        <f t="shared" si="344"/>
        <v>1.4833793757364295</v>
      </c>
      <c r="AY357">
        <f t="shared" si="345"/>
        <v>0.83100150701093989</v>
      </c>
      <c r="AZ357" t="str">
        <f t="shared" si="321"/>
        <v>1+50,8971902750352i</v>
      </c>
      <c r="BA357">
        <f t="shared" si="346"/>
        <v>50.907013052163428</v>
      </c>
      <c r="BB357">
        <f t="shared" si="347"/>
        <v>1.5511514043484023</v>
      </c>
      <c r="BC357" s="41" t="str">
        <f t="shared" si="348"/>
        <v>-1,59538375631194+1,81844693079312i</v>
      </c>
      <c r="BD357">
        <f t="shared" si="349"/>
        <v>7.6730421132977558</v>
      </c>
      <c r="BE357" s="43">
        <f t="shared" si="350"/>
        <v>131.26154973421612</v>
      </c>
      <c r="BF357" s="41" t="str">
        <f t="shared" si="351"/>
        <v>0,178636679661511+0,54215854552275i</v>
      </c>
      <c r="BG357" s="20">
        <f t="shared" si="352"/>
        <v>-4.8698633733822057</v>
      </c>
      <c r="BH357" s="43">
        <f t="shared" si="353"/>
        <v>71.763383225304935</v>
      </c>
      <c r="BI357" s="41" t="str">
        <f t="shared" si="306"/>
        <v>-0,195774858874392+1,55812740338979i</v>
      </c>
      <c r="BJ357" s="20">
        <f t="shared" si="354"/>
        <v>3.9200871090508675</v>
      </c>
      <c r="BK357" s="43">
        <f t="shared" si="307"/>
        <v>97.161543359962039</v>
      </c>
      <c r="BL357">
        <f t="shared" si="355"/>
        <v>-4.8698633733822057</v>
      </c>
      <c r="BM357" s="43">
        <f t="shared" si="356"/>
        <v>71.763383225304935</v>
      </c>
    </row>
    <row r="358" spans="14:65" x14ac:dyDescent="0.25">
      <c r="N358" s="9">
        <v>40</v>
      </c>
      <c r="O358" s="34">
        <f t="shared" si="308"/>
        <v>25118.86431509586</v>
      </c>
      <c r="P358" s="33" t="str">
        <f t="shared" si="309"/>
        <v>54,631621870174</v>
      </c>
      <c r="Q358" s="4" t="str">
        <f t="shared" si="310"/>
        <v>1+704,521645411359i</v>
      </c>
      <c r="R358" s="4">
        <f t="shared" si="322"/>
        <v>704.52235511240417</v>
      </c>
      <c r="S358" s="4">
        <f t="shared" si="323"/>
        <v>1.569376924942667</v>
      </c>
      <c r="T358" s="4" t="str">
        <f t="shared" si="311"/>
        <v>1+2,38633636546844i</v>
      </c>
      <c r="U358" s="4">
        <f t="shared" si="324"/>
        <v>2.587392751237648</v>
      </c>
      <c r="V358" s="4">
        <f t="shared" si="325"/>
        <v>1.1739741093186642</v>
      </c>
      <c r="W358" t="str">
        <f t="shared" si="312"/>
        <v>1-0,628045039121218i</v>
      </c>
      <c r="X358" s="4">
        <f t="shared" si="326"/>
        <v>1.1808643322434513</v>
      </c>
      <c r="Y358" s="4">
        <f t="shared" si="327"/>
        <v>-0.56078601029044439</v>
      </c>
      <c r="Z358" t="str">
        <f t="shared" si="313"/>
        <v>0,997476170622079+0,0862883087202094i</v>
      </c>
      <c r="AA358" s="4">
        <f t="shared" si="328"/>
        <v>1.0012014698254699</v>
      </c>
      <c r="AB358" s="4">
        <f t="shared" si="329"/>
        <v>8.6291812588518882E-2</v>
      </c>
      <c r="AC358" s="47" t="str">
        <f t="shared" si="330"/>
        <v>0,119285907573147-0,204376829882947i</v>
      </c>
      <c r="AD358" s="20">
        <f t="shared" si="331"/>
        <v>-12.518196016097056</v>
      </c>
      <c r="AE358" s="43">
        <f t="shared" si="332"/>
        <v>-59.729740810323278</v>
      </c>
      <c r="AF358" t="str">
        <f t="shared" si="314"/>
        <v>171,265703090588</v>
      </c>
      <c r="AG358" t="str">
        <f t="shared" si="315"/>
        <v>1+697,779360980434i</v>
      </c>
      <c r="AH358">
        <f t="shared" si="333"/>
        <v>697.78007753894985</v>
      </c>
      <c r="AI358">
        <f t="shared" si="334"/>
        <v>1.5693632100085433</v>
      </c>
      <c r="AJ358" t="str">
        <f t="shared" si="316"/>
        <v>1+2,38633636546844i</v>
      </c>
      <c r="AK358">
        <f t="shared" si="335"/>
        <v>2.587392751237648</v>
      </c>
      <c r="AL358">
        <f t="shared" si="336"/>
        <v>1.1739741093186642</v>
      </c>
      <c r="AM358" t="str">
        <f t="shared" si="317"/>
        <v>1-0,198421123841008i</v>
      </c>
      <c r="AN358">
        <f t="shared" si="337"/>
        <v>1.0194954351964156</v>
      </c>
      <c r="AO358">
        <f t="shared" si="338"/>
        <v>-0.19587694976841932</v>
      </c>
      <c r="AP358" s="41" t="str">
        <f t="shared" si="339"/>
        <v>0,537527697579848-0,360891166614031i</v>
      </c>
      <c r="AQ358">
        <f t="shared" si="340"/>
        <v>-3.7760104240779753</v>
      </c>
      <c r="AR358" s="43">
        <f t="shared" si="341"/>
        <v>-33.877049260629612</v>
      </c>
      <c r="AS358" t="str">
        <f t="shared" si="318"/>
        <v>-0,0000166666666666667</v>
      </c>
      <c r="AT358" t="str">
        <f t="shared" si="319"/>
        <v>0,000241947992609994i</v>
      </c>
      <c r="AU358">
        <f t="shared" si="342"/>
        <v>2.4194799260999399E-4</v>
      </c>
      <c r="AV358">
        <f t="shared" si="343"/>
        <v>1.5707963267948966</v>
      </c>
      <c r="AW358" t="str">
        <f t="shared" si="320"/>
        <v>1+1,12115483265648i</v>
      </c>
      <c r="AX358">
        <f t="shared" si="344"/>
        <v>1.5023275803861751</v>
      </c>
      <c r="AY358">
        <f t="shared" si="345"/>
        <v>0.84245356378071234</v>
      </c>
      <c r="AZ358" t="str">
        <f t="shared" si="321"/>
        <v>1+52,0827381352238i</v>
      </c>
      <c r="BA358">
        <f t="shared" si="346"/>
        <v>52.092337360328685</v>
      </c>
      <c r="BB358">
        <f t="shared" si="347"/>
        <v>1.5515984662337137</v>
      </c>
      <c r="BC358" s="41" t="str">
        <f t="shared" si="348"/>
        <v>-1,55539378137562+1,81272258199854i</v>
      </c>
      <c r="BD358">
        <f t="shared" si="349"/>
        <v>7.5627186118071386</v>
      </c>
      <c r="BE358" s="43">
        <f t="shared" si="350"/>
        <v>130.63100997377325</v>
      </c>
      <c r="BF358" s="41" t="str">
        <f t="shared" si="351"/>
        <v>0,184941935921072+0,534118708629233i</v>
      </c>
      <c r="BG358" s="20">
        <f t="shared" si="352"/>
        <v>-4.9554774042899172</v>
      </c>
      <c r="BH358" s="43">
        <f t="shared" si="353"/>
        <v>70.901269163449996</v>
      </c>
      <c r="BI358" s="41" t="str">
        <f t="shared" si="306"/>
        <v>-0,181871670767799+1,53571647215753i</v>
      </c>
      <c r="BJ358" s="20">
        <f t="shared" si="354"/>
        <v>3.7867081877291708</v>
      </c>
      <c r="BK358" s="43">
        <f t="shared" si="307"/>
        <v>96.753960713143641</v>
      </c>
      <c r="BL358">
        <f t="shared" si="355"/>
        <v>-4.9554774042899172</v>
      </c>
      <c r="BM358" s="43">
        <f t="shared" si="356"/>
        <v>70.901269163449996</v>
      </c>
    </row>
    <row r="359" spans="14:65" x14ac:dyDescent="0.25">
      <c r="N359" s="9">
        <v>41</v>
      </c>
      <c r="O359" s="34">
        <f t="shared" si="308"/>
        <v>25703.95782768865</v>
      </c>
      <c r="P359" s="33" t="str">
        <f t="shared" si="309"/>
        <v>54,631621870174</v>
      </c>
      <c r="Q359" s="4" t="str">
        <f t="shared" si="310"/>
        <v>1+720,932062659548i</v>
      </c>
      <c r="R359" s="4">
        <f t="shared" si="322"/>
        <v>720.93275620584097</v>
      </c>
      <c r="S359" s="4">
        <f t="shared" si="323"/>
        <v>1.5694092344314787</v>
      </c>
      <c r="T359" s="4" t="str">
        <f t="shared" si="311"/>
        <v>1+2,44192128000857i</v>
      </c>
      <c r="U359" s="4">
        <f t="shared" si="324"/>
        <v>2.6387458266681714</v>
      </c>
      <c r="V359" s="4">
        <f t="shared" si="325"/>
        <v>1.1821155605078333</v>
      </c>
      <c r="W359" t="str">
        <f t="shared" si="312"/>
        <v>1-0,642674087369433i</v>
      </c>
      <c r="X359" s="4">
        <f t="shared" si="326"/>
        <v>1.1887093768352859</v>
      </c>
      <c r="Y359" s="4">
        <f t="shared" si="327"/>
        <v>-0.57120794242146167</v>
      </c>
      <c r="Z359" t="str">
        <f t="shared" si="313"/>
        <v>0,99735722620797+0,0882982216291483i</v>
      </c>
      <c r="AA359" s="4">
        <f t="shared" si="328"/>
        <v>1.0012582147538793</v>
      </c>
      <c r="AB359" s="4">
        <f t="shared" si="329"/>
        <v>8.8301970296932972E-2</v>
      </c>
      <c r="AC359" s="47" t="str">
        <f t="shared" si="330"/>
        <v>0,11877983253836-0,205545652324435i</v>
      </c>
      <c r="AD359" s="20">
        <f t="shared" si="331"/>
        <v>-12.490470179867232</v>
      </c>
      <c r="AE359" s="43">
        <f t="shared" si="332"/>
        <v>-59.977427493746177</v>
      </c>
      <c r="AF359" t="str">
        <f t="shared" si="314"/>
        <v>171,265703090588</v>
      </c>
      <c r="AG359" t="str">
        <f t="shared" si="315"/>
        <v>1+714,032730249419i</v>
      </c>
      <c r="AH359">
        <f t="shared" si="333"/>
        <v>714.03343049708781</v>
      </c>
      <c r="AI359">
        <f t="shared" si="334"/>
        <v>1.5693958316861429</v>
      </c>
      <c r="AJ359" t="str">
        <f t="shared" si="316"/>
        <v>1+2,44192128000857i</v>
      </c>
      <c r="AK359">
        <f t="shared" si="335"/>
        <v>2.6387458266681714</v>
      </c>
      <c r="AL359">
        <f t="shared" si="336"/>
        <v>1.1821155605078333</v>
      </c>
      <c r="AM359" t="str">
        <f t="shared" si="317"/>
        <v>1-0,203042945546975i</v>
      </c>
      <c r="AN359">
        <f t="shared" si="337"/>
        <v>1.0204050361186934</v>
      </c>
      <c r="AO359">
        <f t="shared" si="338"/>
        <v>-0.20031974950728279</v>
      </c>
      <c r="AP359" s="41" t="str">
        <f t="shared" si="339"/>
        <v>0,537511915938555-0,358028793352491i</v>
      </c>
      <c r="AQ359">
        <f t="shared" si="340"/>
        <v>-3.7975598196006248</v>
      </c>
      <c r="AR359" s="43">
        <f t="shared" si="341"/>
        <v>-33.667001227084214</v>
      </c>
      <c r="AS359" t="str">
        <f t="shared" si="318"/>
        <v>-0,0000166666666666667</v>
      </c>
      <c r="AT359" t="str">
        <f t="shared" si="319"/>
        <v>0,000247583685334202i</v>
      </c>
      <c r="AU359">
        <f t="shared" si="342"/>
        <v>2.4758368533420199E-4</v>
      </c>
      <c r="AV359">
        <f t="shared" si="343"/>
        <v>1.5707963267948966</v>
      </c>
      <c r="AW359" t="str">
        <f t="shared" si="320"/>
        <v>1+1,14726988351908i</v>
      </c>
      <c r="AX359">
        <f t="shared" si="344"/>
        <v>1.5219159587933506</v>
      </c>
      <c r="AY359">
        <f t="shared" si="345"/>
        <v>0.85387563879322959</v>
      </c>
      <c r="AZ359" t="str">
        <f t="shared" si="321"/>
        <v>1+53,295900952568i</v>
      </c>
      <c r="BA359">
        <f t="shared" si="346"/>
        <v>53.305281711533418</v>
      </c>
      <c r="BB359">
        <f t="shared" si="347"/>
        <v>1.5520353591643599</v>
      </c>
      <c r="BC359" s="41" t="str">
        <f t="shared" si="348"/>
        <v>-1,51561291266479+1,80613435561307i</v>
      </c>
      <c r="BD359">
        <f t="shared" si="349"/>
        <v>7.4501259643722673</v>
      </c>
      <c r="BE359" s="43">
        <f t="shared" si="350"/>
        <v>130.00160540329946</v>
      </c>
      <c r="BF359" s="41" t="str">
        <f t="shared" si="351"/>
        <v>0,191218816350762+0,52605998110652i</v>
      </c>
      <c r="BG359" s="20">
        <f t="shared" si="352"/>
        <v>-5.0403442154949696</v>
      </c>
      <c r="BH359" s="43">
        <f t="shared" si="353"/>
        <v>70.024177909553245</v>
      </c>
      <c r="BI359" s="41" t="str">
        <f t="shared" si="306"/>
        <v>-0,168011896535039+1,51345180023886i</v>
      </c>
      <c r="BJ359" s="20">
        <f t="shared" si="354"/>
        <v>3.652566144771654</v>
      </c>
      <c r="BK359" s="43">
        <f t="shared" si="307"/>
        <v>96.334604176215251</v>
      </c>
      <c r="BL359">
        <f t="shared" si="355"/>
        <v>-5.0403442154949696</v>
      </c>
      <c r="BM359" s="43">
        <f t="shared" si="356"/>
        <v>70.024177909553245</v>
      </c>
    </row>
    <row r="360" spans="14:65" x14ac:dyDescent="0.25">
      <c r="N360" s="9">
        <v>42</v>
      </c>
      <c r="O360" s="34">
        <f t="shared" si="308"/>
        <v>26302.679918953829</v>
      </c>
      <c r="P360" s="33" t="str">
        <f t="shared" si="309"/>
        <v>54,631621870174</v>
      </c>
      <c r="Q360" s="4" t="str">
        <f t="shared" si="310"/>
        <v>1+737,724727630024i</v>
      </c>
      <c r="R360" s="4">
        <f t="shared" si="322"/>
        <v>737.72540538929059</v>
      </c>
      <c r="S360" s="4">
        <f t="shared" si="323"/>
        <v>1.5694408084693339</v>
      </c>
      <c r="T360" s="4" t="str">
        <f t="shared" si="311"/>
        <v>1+2,49880093353402i</v>
      </c>
      <c r="U360" s="4">
        <f t="shared" si="324"/>
        <v>2.6914691351435724</v>
      </c>
      <c r="V360" s="4">
        <f t="shared" si="325"/>
        <v>1.1901244927943175</v>
      </c>
      <c r="W360" t="str">
        <f t="shared" si="312"/>
        <v>1-0,657643889925569i</v>
      </c>
      <c r="X360" s="4">
        <f t="shared" si="326"/>
        <v>1.1968690345883437</v>
      </c>
      <c r="Y360" s="4">
        <f t="shared" si="327"/>
        <v>-0.5817300264681009</v>
      </c>
      <c r="Z360" t="str">
        <f t="shared" si="313"/>
        <v>0,997232676116324+0,0903549514239603i</v>
      </c>
      <c r="AA360" s="4">
        <f t="shared" si="328"/>
        <v>1.0013176456853996</v>
      </c>
      <c r="AB360" s="4">
        <f t="shared" si="329"/>
        <v>9.0358961693066966E-2</v>
      </c>
      <c r="AC360" s="47" t="str">
        <f t="shared" si="330"/>
        <v>0,118250480428407-0,206820738823085i</v>
      </c>
      <c r="AD360" s="20">
        <f t="shared" si="331"/>
        <v>-12.45972961244053</v>
      </c>
      <c r="AE360" s="43">
        <f t="shared" si="332"/>
        <v>-60.241086467483356</v>
      </c>
      <c r="AF360" t="str">
        <f t="shared" si="314"/>
        <v>171,265703090588</v>
      </c>
      <c r="AG360" t="str">
        <f t="shared" si="315"/>
        <v>1+730,664689123324i</v>
      </c>
      <c r="AH360">
        <f t="shared" si="333"/>
        <v>730.665373431425</v>
      </c>
      <c r="AI360">
        <f t="shared" si="334"/>
        <v>1.5694277108065835</v>
      </c>
      <c r="AJ360" t="str">
        <f t="shared" si="316"/>
        <v>1+2,49880093353402i</v>
      </c>
      <c r="AK360">
        <f t="shared" si="335"/>
        <v>2.6914691351435724</v>
      </c>
      <c r="AL360">
        <f t="shared" si="336"/>
        <v>1.1901244927943175</v>
      </c>
      <c r="AM360" t="str">
        <f t="shared" si="317"/>
        <v>1-0,207772423310262i</v>
      </c>
      <c r="AN360">
        <f t="shared" si="337"/>
        <v>1.0213566369727172</v>
      </c>
      <c r="AO360">
        <f t="shared" si="338"/>
        <v>-0.20485775136924736</v>
      </c>
      <c r="AP360" s="41" t="str">
        <f t="shared" si="339"/>
        <v>0,537496844585402-0,355356249706216i</v>
      </c>
      <c r="AQ360">
        <f t="shared" si="340"/>
        <v>-3.817626108381011</v>
      </c>
      <c r="AR360" s="43">
        <f t="shared" si="341"/>
        <v>-33.469958101831594</v>
      </c>
      <c r="AS360" t="str">
        <f t="shared" si="318"/>
        <v>-0,0000166666666666667</v>
      </c>
      <c r="AT360" t="str">
        <f t="shared" si="319"/>
        <v>0,000253350650205533i</v>
      </c>
      <c r="AU360">
        <f t="shared" si="342"/>
        <v>2.5335065020553297E-4</v>
      </c>
      <c r="AV360">
        <f t="shared" si="343"/>
        <v>1.5707963267948966</v>
      </c>
      <c r="AW360" t="str">
        <f t="shared" si="320"/>
        <v>1+1,17399323205983i</v>
      </c>
      <c r="AX360">
        <f t="shared" si="344"/>
        <v>1.54216085701923</v>
      </c>
      <c r="AY360">
        <f t="shared" si="345"/>
        <v>0.86526186777466341</v>
      </c>
      <c r="AZ360" t="str">
        <f t="shared" si="321"/>
        <v>1+54,5373219620519i</v>
      </c>
      <c r="BA360">
        <f t="shared" si="346"/>
        <v>54.546489225178448</v>
      </c>
      <c r="BB360">
        <f t="shared" si="347"/>
        <v>1.5524623141192364</v>
      </c>
      <c r="BC360" s="41" t="str">
        <f t="shared" si="348"/>
        <v>-1,47608133090605+1,798694469335i</v>
      </c>
      <c r="BD360">
        <f t="shared" si="349"/>
        <v>7.3352770806304495</v>
      </c>
      <c r="BE360" s="43">
        <f t="shared" si="350"/>
        <v>129.37368525505042</v>
      </c>
      <c r="BF360" s="41" t="str">
        <f t="shared" si="351"/>
        <v>0,197459992533819+0,517980716563734i</v>
      </c>
      <c r="BG360" s="20">
        <f t="shared" si="352"/>
        <v>-5.1244525318100829</v>
      </c>
      <c r="BH360" s="43">
        <f t="shared" si="353"/>
        <v>69.132598787567034</v>
      </c>
      <c r="BI360" s="41" t="str">
        <f t="shared" si="306"/>
        <v>-0,154211736723225+1,49132732765291i</v>
      </c>
      <c r="BJ360" s="20">
        <f t="shared" si="354"/>
        <v>3.5176509722494349</v>
      </c>
      <c r="BK360" s="43">
        <f t="shared" si="307"/>
        <v>95.903727153218838</v>
      </c>
      <c r="BL360">
        <f t="shared" si="355"/>
        <v>-5.1244525318100829</v>
      </c>
      <c r="BM360" s="43">
        <f t="shared" si="356"/>
        <v>69.132598787567034</v>
      </c>
    </row>
    <row r="361" spans="14:65" x14ac:dyDescent="0.25">
      <c r="N361" s="9">
        <v>43</v>
      </c>
      <c r="O361" s="34">
        <f t="shared" si="308"/>
        <v>26915.348039269167</v>
      </c>
      <c r="P361" s="33" t="str">
        <f t="shared" si="309"/>
        <v>54,631621870174</v>
      </c>
      <c r="Q361" s="4" t="str">
        <f t="shared" si="310"/>
        <v>1+754,908544016033i</v>
      </c>
      <c r="R361" s="4">
        <f t="shared" si="322"/>
        <v>754.90920634762892</v>
      </c>
      <c r="S361" s="4">
        <f t="shared" si="323"/>
        <v>1.5694716637969535</v>
      </c>
      <c r="T361" s="4" t="str">
        <f t="shared" si="311"/>
        <v>1+2,55700548438997i</v>
      </c>
      <c r="U361" s="4">
        <f t="shared" si="324"/>
        <v>2.745592294423989</v>
      </c>
      <c r="V361" s="4">
        <f t="shared" si="325"/>
        <v>1.1980010418424634</v>
      </c>
      <c r="W361" t="str">
        <f t="shared" si="312"/>
        <v>1-0,672962383977092i</v>
      </c>
      <c r="X361" s="4">
        <f t="shared" si="326"/>
        <v>1.2053540435275152</v>
      </c>
      <c r="Y361" s="4">
        <f t="shared" si="327"/>
        <v>-0.59234852162768636</v>
      </c>
      <c r="Z361" t="str">
        <f t="shared" si="313"/>
        <v>0,9971022561597+0,0924595886100067i</v>
      </c>
      <c r="AA361" s="4">
        <f t="shared" si="328"/>
        <v>1.0013798903336815</v>
      </c>
      <c r="AB361" s="4">
        <f t="shared" si="329"/>
        <v>9.2463878397967644E-2</v>
      </c>
      <c r="AC361" s="47" t="str">
        <f t="shared" si="330"/>
        <v>0,117696745141964-0,208202571531869i</v>
      </c>
      <c r="AD361" s="20">
        <f t="shared" si="331"/>
        <v>-12.425976344298068</v>
      </c>
      <c r="AE361" s="43">
        <f t="shared" si="332"/>
        <v>-60.520559130786388</v>
      </c>
      <c r="AF361" t="str">
        <f t="shared" si="314"/>
        <v>171,265703090588</v>
      </c>
      <c r="AG361" t="str">
        <f t="shared" si="315"/>
        <v>1+747,684056086894i</v>
      </c>
      <c r="AH361">
        <f t="shared" si="333"/>
        <v>747.68472481825495</v>
      </c>
      <c r="AI361">
        <f t="shared" si="334"/>
        <v>1.5694588642723375</v>
      </c>
      <c r="AJ361" t="str">
        <f t="shared" si="316"/>
        <v>1+2,55700548438997i</v>
      </c>
      <c r="AK361">
        <f t="shared" si="335"/>
        <v>2.745592294423989</v>
      </c>
      <c r="AL361">
        <f t="shared" si="336"/>
        <v>1.1980010418424634</v>
      </c>
      <c r="AM361" t="str">
        <f t="shared" si="317"/>
        <v>1-0,212612064762582i</v>
      </c>
      <c r="AN361">
        <f t="shared" si="337"/>
        <v>1.0223521360483423</v>
      </c>
      <c r="AO361">
        <f t="shared" si="338"/>
        <v>-0.20949261348518949</v>
      </c>
      <c r="AP361" s="41" t="str">
        <f t="shared" si="339"/>
        <v>0,537482451552396-0,352872118790015i</v>
      </c>
      <c r="AQ361">
        <f t="shared" si="340"/>
        <v>-3.8362310059072446</v>
      </c>
      <c r="AR361" s="43">
        <f t="shared" si="341"/>
        <v>-33.286008084218551</v>
      </c>
      <c r="AS361" t="str">
        <f t="shared" si="318"/>
        <v>-0,0000166666666666667</v>
      </c>
      <c r="AT361" t="str">
        <f t="shared" si="319"/>
        <v>0,000259251944945094i</v>
      </c>
      <c r="AU361">
        <f t="shared" si="342"/>
        <v>2.5925194494509402E-4</v>
      </c>
      <c r="AV361">
        <f t="shared" si="343"/>
        <v>1.5707963267948966</v>
      </c>
      <c r="AW361" t="str">
        <f t="shared" si="320"/>
        <v>1+1,20133904735186i</v>
      </c>
      <c r="AX361">
        <f t="shared" si="344"/>
        <v>1.5630788549181625</v>
      </c>
      <c r="AY361">
        <f t="shared" si="345"/>
        <v>0.87660647927493485</v>
      </c>
      <c r="AZ361" t="str">
        <f t="shared" si="321"/>
        <v>1+55,8076593815271i</v>
      </c>
      <c r="BA361">
        <f t="shared" si="346"/>
        <v>55.816618006150733</v>
      </c>
      <c r="BB361">
        <f t="shared" si="347"/>
        <v>1.5528795568525156</v>
      </c>
      <c r="BC361" s="41" t="str">
        <f t="shared" si="348"/>
        <v>-1,436838190165+1,79041735055984i</v>
      </c>
      <c r="BD361">
        <f t="shared" si="349"/>
        <v>7.2181871377337545</v>
      </c>
      <c r="BE361" s="43">
        <f t="shared" si="350"/>
        <v>128.74759314351874</v>
      </c>
      <c r="BF361" s="41" t="str">
        <f t="shared" si="351"/>
        <v>0,203658318223744+0,509879700674141i</v>
      </c>
      <c r="BG361" s="20">
        <f t="shared" si="352"/>
        <v>-5.2077892065643194</v>
      </c>
      <c r="BH361" s="43">
        <f t="shared" si="353"/>
        <v>68.227034012732304</v>
      </c>
      <c r="BI361" s="41" t="str">
        <f t="shared" si="306"/>
        <v>-0,140486948923536+1,46933804340278i</v>
      </c>
      <c r="BJ361" s="20">
        <f t="shared" si="354"/>
        <v>3.3819561318264961</v>
      </c>
      <c r="BK361" s="43">
        <f t="shared" si="307"/>
        <v>95.461585059300191</v>
      </c>
      <c r="BL361">
        <f t="shared" si="355"/>
        <v>-5.2077892065643194</v>
      </c>
      <c r="BM361" s="43">
        <f t="shared" si="356"/>
        <v>68.227034012732304</v>
      </c>
    </row>
    <row r="362" spans="14:65" x14ac:dyDescent="0.25">
      <c r="N362" s="9">
        <v>44</v>
      </c>
      <c r="O362" s="34">
        <f t="shared" si="308"/>
        <v>27542.287033381719</v>
      </c>
      <c r="P362" s="33" t="str">
        <f t="shared" si="309"/>
        <v>54,631621870174</v>
      </c>
      <c r="Q362" s="4" t="str">
        <f t="shared" si="310"/>
        <v>1+772,492622904475i</v>
      </c>
      <c r="R362" s="4">
        <f t="shared" si="322"/>
        <v>772.4932701595759</v>
      </c>
      <c r="S362" s="4">
        <f t="shared" si="323"/>
        <v>1.5695018167740051</v>
      </c>
      <c r="T362" s="4" t="str">
        <f t="shared" si="311"/>
        <v>1+2,61656579339972i</v>
      </c>
      <c r="U362" s="4">
        <f t="shared" si="324"/>
        <v>2.8011455783642352</v>
      </c>
      <c r="V362" s="4">
        <f t="shared" si="325"/>
        <v>1.2057454735799176</v>
      </c>
      <c r="W362" t="str">
        <f t="shared" si="312"/>
        <v>1-0,688637691592309i</v>
      </c>
      <c r="X362" s="4">
        <f t="shared" si="326"/>
        <v>1.2141753869526364</v>
      </c>
      <c r="Y362" s="4">
        <f t="shared" si="327"/>
        <v>-0.60305947977570618</v>
      </c>
      <c r="Z362" t="str">
        <f t="shared" si="313"/>
        <v>0,996965689699883+0,0946132490937815i</v>
      </c>
      <c r="AA362" s="4">
        <f t="shared" si="328"/>
        <v>1.0014450825396495</v>
      </c>
      <c r="AB362" s="4">
        <f t="shared" si="329"/>
        <v>9.461783750314913E-2</v>
      </c>
      <c r="AC362" s="47" t="str">
        <f t="shared" si="330"/>
        <v>0,117117470472479-0,209691675383997i</v>
      </c>
      <c r="AD362" s="20">
        <f t="shared" si="331"/>
        <v>-12.389212883681575</v>
      </c>
      <c r="AE362" s="43">
        <f t="shared" si="332"/>
        <v>-60.815668978221645</v>
      </c>
      <c r="AF362" t="str">
        <f t="shared" si="314"/>
        <v>171,265703090588</v>
      </c>
      <c r="AG362" t="str">
        <f t="shared" si="315"/>
        <v>1+765,099855033771i</v>
      </c>
      <c r="AH362">
        <f t="shared" si="333"/>
        <v>765.10050854296082</v>
      </c>
      <c r="AI362">
        <f t="shared" si="334"/>
        <v>1.5694893086011426</v>
      </c>
      <c r="AJ362" t="str">
        <f t="shared" si="316"/>
        <v>1+2,61656579339972i</v>
      </c>
      <c r="AK362">
        <f t="shared" si="335"/>
        <v>2.8011455783642352</v>
      </c>
      <c r="AL362">
        <f t="shared" si="336"/>
        <v>1.2057454735799176</v>
      </c>
      <c r="AM362" t="str">
        <f t="shared" si="317"/>
        <v>1-0,217564435945892i</v>
      </c>
      <c r="AN362">
        <f t="shared" si="337"/>
        <v>1.0233935136536942</v>
      </c>
      <c r="AO362">
        <f t="shared" si="338"/>
        <v>-0.21422599642147758</v>
      </c>
      <c r="AP362" s="41" t="str">
        <f t="shared" si="339"/>
        <v>0,537468706310319-0,350575083608754i</v>
      </c>
      <c r="AQ362">
        <f t="shared" si="340"/>
        <v>-3.8533949731021755</v>
      </c>
      <c r="AR362" s="43">
        <f t="shared" si="341"/>
        <v>-33.115232027554484</v>
      </c>
      <c r="AS362" t="str">
        <f t="shared" si="318"/>
        <v>-0,0000166666666666667</v>
      </c>
      <c r="AT362" t="str">
        <f t="shared" si="319"/>
        <v>0,000265290698497471i</v>
      </c>
      <c r="AU362">
        <f t="shared" si="342"/>
        <v>2.6529069849747102E-4</v>
      </c>
      <c r="AV362">
        <f t="shared" si="343"/>
        <v>1.5707963267948966</v>
      </c>
      <c r="AW362" t="str">
        <f t="shared" si="320"/>
        <v>1+1,22932182850839i</v>
      </c>
      <c r="AX362">
        <f t="shared" si="344"/>
        <v>1.5846867696952642</v>
      </c>
      <c r="AY362">
        <f t="shared" si="345"/>
        <v>0.88790380873351193</v>
      </c>
      <c r="AZ362" t="str">
        <f t="shared" si="321"/>
        <v>1+57,1075867607081i</v>
      </c>
      <c r="BA362">
        <f t="shared" si="346"/>
        <v>57.116341493759947</v>
      </c>
      <c r="BB362">
        <f t="shared" si="347"/>
        <v>1.5532873080103766</v>
      </c>
      <c r="BC362" s="41" t="str">
        <f t="shared" si="348"/>
        <v>-1,39792146877756+1,78131954130212i</v>
      </c>
      <c r="BD362">
        <f t="shared" si="349"/>
        <v>7.09887351725886</v>
      </c>
      <c r="BE362" s="43">
        <f t="shared" si="350"/>
        <v>128.12366626621045</v>
      </c>
      <c r="BF362" s="41" t="str">
        <f t="shared" si="351"/>
        <v>0,209806852667494+0,501756133623725i</v>
      </c>
      <c r="BG362" s="20">
        <f t="shared" si="352"/>
        <v>-5.290339366422721</v>
      </c>
      <c r="BH362" s="43">
        <f t="shared" si="353"/>
        <v>67.30799728798884</v>
      </c>
      <c r="BI362" s="41" t="str">
        <f t="shared" si="306"/>
        <v>-0,126852796221398+1,44747994518411i</v>
      </c>
      <c r="BJ362" s="20">
        <f t="shared" si="354"/>
        <v>3.2454785441567053</v>
      </c>
      <c r="BK362" s="43">
        <f t="shared" si="307"/>
        <v>95.008434238655965</v>
      </c>
      <c r="BL362">
        <f t="shared" si="355"/>
        <v>-5.290339366422721</v>
      </c>
      <c r="BM362" s="43">
        <f t="shared" si="356"/>
        <v>67.30799728798884</v>
      </c>
    </row>
    <row r="363" spans="14:65" x14ac:dyDescent="0.25">
      <c r="N363" s="9">
        <v>45</v>
      </c>
      <c r="O363" s="34">
        <f t="shared" si="308"/>
        <v>28183.829312644593</v>
      </c>
      <c r="P363" s="33" t="str">
        <f t="shared" si="309"/>
        <v>54,631621870174</v>
      </c>
      <c r="Q363" s="4" t="str">
        <f t="shared" si="310"/>
        <v>1+790,486287606729i</v>
      </c>
      <c r="R363" s="4">
        <f t="shared" si="322"/>
        <v>790.486920128517</v>
      </c>
      <c r="S363" s="4">
        <f t="shared" si="323"/>
        <v>1.5695312833877775</v>
      </c>
      <c r="T363" s="4" t="str">
        <f t="shared" si="311"/>
        <v>1+2,67751344022746i</v>
      </c>
      <c r="U363" s="4">
        <f t="shared" si="324"/>
        <v>2.8581599364973767</v>
      </c>
      <c r="V363" s="4">
        <f t="shared" si="325"/>
        <v>1.2133581773329918</v>
      </c>
      <c r="W363" t="str">
        <f t="shared" si="312"/>
        <v>1-0,704678124026805i</v>
      </c>
      <c r="X363" s="4">
        <f t="shared" si="326"/>
        <v>1.2233442927001119</v>
      </c>
      <c r="Y363" s="4">
        <f t="shared" si="327"/>
        <v>-0.61385874951163222</v>
      </c>
      <c r="Z363" t="str">
        <f t="shared" si="313"/>
        <v>0,996822687061103+0,09681707477458i</v>
      </c>
      <c r="AA363" s="4">
        <f t="shared" si="328"/>
        <v>1.0015133625706769</v>
      </c>
      <c r="AB363" s="4">
        <f t="shared" si="329"/>
        <v>9.6821982165949144E-2</v>
      </c>
      <c r="AC363" s="47" t="str">
        <f t="shared" si="330"/>
        <v>0,116511447811662-0,211288617390307i</v>
      </c>
      <c r="AD363" s="20">
        <f t="shared" si="331"/>
        <v>-12.349442302655078</v>
      </c>
      <c r="AE363" s="43">
        <f t="shared" si="332"/>
        <v>-61.126222259399498</v>
      </c>
      <c r="AF363" t="str">
        <f t="shared" si="314"/>
        <v>171,265703090588</v>
      </c>
      <c r="AG363" t="str">
        <f t="shared" si="315"/>
        <v>1+782,921320051079i</v>
      </c>
      <c r="AH363">
        <f t="shared" si="333"/>
        <v>782.92195868459578</v>
      </c>
      <c r="AI363">
        <f t="shared" si="334"/>
        <v>1.569519059934759</v>
      </c>
      <c r="AJ363" t="str">
        <f t="shared" si="316"/>
        <v>1+2,67751344022746i</v>
      </c>
      <c r="AK363">
        <f t="shared" si="335"/>
        <v>2.8581599364973767</v>
      </c>
      <c r="AL363">
        <f t="shared" si="336"/>
        <v>1.2133581773329918</v>
      </c>
      <c r="AM363" t="str">
        <f t="shared" si="317"/>
        <v>1-0,222632162672946i</v>
      </c>
      <c r="AN363">
        <f t="shared" si="337"/>
        <v>1.0244828353156694</v>
      </c>
      <c r="AO363">
        <f t="shared" si="338"/>
        <v>-0.21905956107980412</v>
      </c>
      <c r="AP363" s="41" t="str">
        <f t="shared" si="339"/>
        <v>0,537455579703976-0,348463926359664i</v>
      </c>
      <c r="AQ363">
        <f t="shared" si="340"/>
        <v>-3.8691371681278963</v>
      </c>
      <c r="AR363" s="43">
        <f t="shared" si="341"/>
        <v>-32.957703712596739</v>
      </c>
      <c r="AS363" t="str">
        <f t="shared" si="318"/>
        <v>-0,0000166666666666667</v>
      </c>
      <c r="AT363" t="str">
        <f t="shared" si="319"/>
        <v>0,000271470112689729i</v>
      </c>
      <c r="AU363">
        <f t="shared" si="342"/>
        <v>2.7147011268972902E-4</v>
      </c>
      <c r="AV363">
        <f t="shared" si="343"/>
        <v>1.5707963267948966</v>
      </c>
      <c r="AW363" t="str">
        <f t="shared" si="320"/>
        <v>1+1,2579564123704i</v>
      </c>
      <c r="AX363">
        <f t="shared" si="344"/>
        <v>1.6070016600563322</v>
      </c>
      <c r="AY363">
        <f t="shared" si="345"/>
        <v>0.89914831188571553</v>
      </c>
      <c r="AZ363" t="str">
        <f t="shared" si="321"/>
        <v>1+58,4377933382978i</v>
      </c>
      <c r="BA363">
        <f t="shared" si="346"/>
        <v>58.446348818806491</v>
      </c>
      <c r="BB363">
        <f t="shared" si="347"/>
        <v>1.5536857832452251</v>
      </c>
      <c r="BC363" s="41" t="str">
        <f t="shared" si="348"/>
        <v>-1,35936783030964+1,77141959151047i</v>
      </c>
      <c r="BD363">
        <f t="shared" si="349"/>
        <v>6.977355733918575</v>
      </c>
      <c r="BE363" s="43">
        <f t="shared" si="350"/>
        <v>127.50223464206498</v>
      </c>
      <c r="BF363" s="41" t="str">
        <f t="shared" si="351"/>
        <v>0,215898882290376+0,493609610679813i</v>
      </c>
      <c r="BG363" s="20">
        <f t="shared" si="352"/>
        <v>-5.3720865687364983</v>
      </c>
      <c r="BH363" s="43">
        <f t="shared" si="353"/>
        <v>66.376012382665479</v>
      </c>
      <c r="BI363" s="41" t="str">
        <f t="shared" si="306"/>
        <v>-0,113323999181833+1,42574999497095i</v>
      </c>
      <c r="BJ363" s="20">
        <f t="shared" si="354"/>
        <v>3.1082185657906525</v>
      </c>
      <c r="BK363" s="43">
        <f t="shared" si="307"/>
        <v>94.544530929468266</v>
      </c>
      <c r="BL363">
        <f t="shared" si="355"/>
        <v>-5.3720865687364983</v>
      </c>
      <c r="BM363" s="43">
        <f t="shared" si="356"/>
        <v>66.376012382665479</v>
      </c>
    </row>
    <row r="364" spans="14:65" x14ac:dyDescent="0.25">
      <c r="N364" s="9">
        <v>46</v>
      </c>
      <c r="O364" s="34">
        <f t="shared" si="308"/>
        <v>28840.315031266062</v>
      </c>
      <c r="P364" s="33" t="str">
        <f t="shared" si="309"/>
        <v>54,631621870174</v>
      </c>
      <c r="Q364" s="4" t="str">
        <f t="shared" si="310"/>
        <v>1+808,89907860199i</v>
      </c>
      <c r="R364" s="4">
        <f t="shared" si="322"/>
        <v>808.89969672583538</v>
      </c>
      <c r="S364" s="4">
        <f t="shared" si="323"/>
        <v>1.569560079261654</v>
      </c>
      <c r="T364" s="4" t="str">
        <f t="shared" si="311"/>
        <v>1+2,73988074012228i</v>
      </c>
      <c r="U364" s="4">
        <f t="shared" si="324"/>
        <v>2.9166670139206858</v>
      </c>
      <c r="V364" s="4">
        <f t="shared" si="325"/>
        <v>1.2208396590057409</v>
      </c>
      <c r="W364" t="str">
        <f t="shared" si="312"/>
        <v>1-0,721092186130174i</v>
      </c>
      <c r="X364" s="4">
        <f t="shared" si="326"/>
        <v>1.2328722321870964</v>
      </c>
      <c r="Y364" s="4">
        <f t="shared" si="327"/>
        <v>-0.62474198118773083</v>
      </c>
      <c r="Z364" t="str">
        <f t="shared" si="313"/>
        <v>0,996672944915589+0,0990722341499489i</v>
      </c>
      <c r="AA364" s="4">
        <f t="shared" si="328"/>
        <v>1.0015848774348457</v>
      </c>
      <c r="AB364" s="4">
        <f t="shared" si="329"/>
        <v>9.9077482218777366E-2</v>
      </c>
      <c r="AC364" s="47" t="str">
        <f t="shared" si="330"/>
        <v>0,115877413756882-0,212994005889649i</v>
      </c>
      <c r="AD364" s="20">
        <f t="shared" si="331"/>
        <v>-12.30666832662118</v>
      </c>
      <c r="AE364" s="43">
        <f t="shared" si="332"/>
        <v>-61.452008693309061</v>
      </c>
      <c r="AF364" t="str">
        <f t="shared" si="314"/>
        <v>171,265703090588</v>
      </c>
      <c r="AG364" t="str">
        <f t="shared" si="315"/>
        <v>1+801,157900315462i</v>
      </c>
      <c r="AH364">
        <f t="shared" si="333"/>
        <v>801.15852441191669</v>
      </c>
      <c r="AI364">
        <f t="shared" si="334"/>
        <v>1.569548134047527</v>
      </c>
      <c r="AJ364" t="str">
        <f t="shared" si="316"/>
        <v>1+2,73988074012228i</v>
      </c>
      <c r="AK364">
        <f t="shared" si="335"/>
        <v>2.9166670139206858</v>
      </c>
      <c r="AL364">
        <f t="shared" si="336"/>
        <v>1.2208396590057409</v>
      </c>
      <c r="AM364" t="str">
        <f t="shared" si="317"/>
        <v>1-0,227817931919534i</v>
      </c>
      <c r="AN364">
        <f t="shared" si="337"/>
        <v>1.0256222550744956</v>
      </c>
      <c r="AO364">
        <f t="shared" si="338"/>
        <v>-0.22399496644073269</v>
      </c>
      <c r="AP364" s="41" t="str">
        <f t="shared" si="339"/>
        <v>0,537443043890355-0,346537527787192i</v>
      </c>
      <c r="AQ364">
        <f t="shared" si="340"/>
        <v>-3.8834754023647324</v>
      </c>
      <c r="AR364" s="43">
        <f t="shared" si="341"/>
        <v>-32.813490109565819</v>
      </c>
      <c r="AS364" t="str">
        <f t="shared" si="318"/>
        <v>-0,0000166666666666667</v>
      </c>
      <c r="AT364" t="str">
        <f t="shared" si="319"/>
        <v>0,000277793463929065i</v>
      </c>
      <c r="AU364">
        <f t="shared" si="342"/>
        <v>2.7779346392906501E-4</v>
      </c>
      <c r="AV364">
        <f t="shared" si="343"/>
        <v>1.5707963267948966</v>
      </c>
      <c r="AW364" t="str">
        <f t="shared" si="320"/>
        <v>1+1,28725798137326i</v>
      </c>
      <c r="AX364">
        <f t="shared" si="344"/>
        <v>1.6300408309638017</v>
      </c>
      <c r="AY364">
        <f t="shared" si="345"/>
        <v>0.91033457743711144</v>
      </c>
      <c r="AZ364" t="str">
        <f t="shared" si="321"/>
        <v>1+59,7989844074307i</v>
      </c>
      <c r="BA364">
        <f t="shared" si="346"/>
        <v>59.807345168968496</v>
      </c>
      <c r="BB364">
        <f t="shared" si="347"/>
        <v>1.5540751933274466</v>
      </c>
      <c r="BC364" s="41" t="str">
        <f t="shared" si="348"/>
        <v>-1,32121249554694+1,76073794196552i</v>
      </c>
      <c r="BD364">
        <f t="shared" si="349"/>
        <v>6.8536553566754153</v>
      </c>
      <c r="BE364" s="43">
        <f t="shared" si="350"/>
        <v>126.88362039166854</v>
      </c>
      <c r="BF364" s="41" t="str">
        <f t="shared" si="351"/>
        <v>0,221927940573877+0,485440101076582i</v>
      </c>
      <c r="BG364" s="20">
        <f t="shared" si="352"/>
        <v>-5.4530129699457683</v>
      </c>
      <c r="BH364" s="43">
        <f t="shared" si="353"/>
        <v>65.43161169835949</v>
      </c>
      <c r="BI364" s="41" t="str">
        <f t="shared" si="306"/>
        <v>-0,0999146917428798+1,40414607091157i</v>
      </c>
      <c r="BJ364" s="20">
        <f t="shared" si="354"/>
        <v>2.9701799543106739</v>
      </c>
      <c r="BK364" s="43">
        <f t="shared" si="307"/>
        <v>94.070130282102724</v>
      </c>
      <c r="BL364">
        <f t="shared" si="355"/>
        <v>-5.4530129699457683</v>
      </c>
      <c r="BM364" s="43">
        <f t="shared" si="356"/>
        <v>65.43161169835949</v>
      </c>
    </row>
    <row r="365" spans="14:65" x14ac:dyDescent="0.25">
      <c r="N365" s="9">
        <v>47</v>
      </c>
      <c r="O365" s="34">
        <f t="shared" si="308"/>
        <v>29512.092266663854</v>
      </c>
      <c r="P365" s="33" t="str">
        <f t="shared" si="309"/>
        <v>54,631621870174</v>
      </c>
      <c r="Q365" s="4" t="str">
        <f t="shared" si="310"/>
        <v>1+827,740758595779i</v>
      </c>
      <c r="R365" s="4">
        <f t="shared" si="322"/>
        <v>827.74136264941808</v>
      </c>
      <c r="S365" s="4">
        <f t="shared" si="323"/>
        <v>1.5695882196633972</v>
      </c>
      <c r="T365" s="4" t="str">
        <f t="shared" si="311"/>
        <v>1+2,80370076105215i</v>
      </c>
      <c r="U365" s="4">
        <f t="shared" si="324"/>
        <v>2.9766991714858264</v>
      </c>
      <c r="V365" s="4">
        <f t="shared" si="325"/>
        <v>1.2281905343303678</v>
      </c>
      <c r="W365" t="str">
        <f t="shared" si="312"/>
        <v>1-0,73788858085542i</v>
      </c>
      <c r="X365" s="4">
        <f t="shared" si="326"/>
        <v>1.2427709192593885</v>
      </c>
      <c r="Y365" s="4">
        <f t="shared" si="327"/>
        <v>-0.63570463293013235</v>
      </c>
      <c r="Z365" t="str">
        <f t="shared" si="313"/>
        <v>0,996516145640176+0,101379922935241i</v>
      </c>
      <c r="AA365" s="4">
        <f t="shared" si="328"/>
        <v>1.0016597812111196</v>
      </c>
      <c r="AB365" s="4">
        <f t="shared" si="329"/>
        <v>0.10138553479256615</v>
      </c>
      <c r="AC365" s="47" t="str">
        <f t="shared" si="330"/>
        <v>0,11521404761886-0,214808489746993i</v>
      </c>
      <c r="AD365" s="20">
        <f t="shared" si="331"/>
        <v>-12.260895426375608</v>
      </c>
      <c r="AE365" s="43">
        <f t="shared" si="332"/>
        <v>-61.79280223621857</v>
      </c>
      <c r="AF365" t="str">
        <f t="shared" si="314"/>
        <v>171,265703090588</v>
      </c>
      <c r="AG365" t="str">
        <f t="shared" si="315"/>
        <v>1+819,819265103179i</v>
      </c>
      <c r="AH365">
        <f t="shared" si="333"/>
        <v>819.81987499347474</v>
      </c>
      <c r="AI365">
        <f t="shared" si="334"/>
        <v>1.5695765463547293</v>
      </c>
      <c r="AJ365" t="str">
        <f t="shared" si="316"/>
        <v>1+2,80370076105215i</v>
      </c>
      <c r="AK365">
        <f t="shared" si="335"/>
        <v>2.9766991714858264</v>
      </c>
      <c r="AL365">
        <f t="shared" si="336"/>
        <v>1.2281905343303678</v>
      </c>
      <c r="AM365" t="str">
        <f t="shared" si="317"/>
        <v>1-0,233124493249154i</v>
      </c>
      <c r="AN365">
        <f t="shared" si="337"/>
        <v>1.0268140188722956</v>
      </c>
      <c r="AO365">
        <f t="shared" si="338"/>
        <v>-0.2290338671444615</v>
      </c>
      <c r="AP365" s="41" t="str">
        <f t="shared" si="339"/>
        <v>0,537431072279569-0,344794866590076i</v>
      </c>
      <c r="AQ365">
        <f t="shared" si="340"/>
        <v>-3.896426100442516</v>
      </c>
      <c r="AR365" s="43">
        <f t="shared" si="341"/>
        <v>-32.682651626736032</v>
      </c>
      <c r="AS365" t="str">
        <f t="shared" si="318"/>
        <v>-0,0000166666666666667</v>
      </c>
      <c r="AT365" t="str">
        <f t="shared" si="319"/>
        <v>0,000284264104940009i</v>
      </c>
      <c r="AU365">
        <f t="shared" si="342"/>
        <v>2.8426410494000899E-4</v>
      </c>
      <c r="AV365">
        <f t="shared" si="343"/>
        <v>1.5707963267948966</v>
      </c>
      <c r="AW365" t="str">
        <f t="shared" si="320"/>
        <v>1+1,31724207159674i</v>
      </c>
      <c r="AX365">
        <f t="shared" si="344"/>
        <v>1.653821839009411</v>
      </c>
      <c r="AY365">
        <f t="shared" si="345"/>
        <v>0.92145733894184867</v>
      </c>
      <c r="AZ365" t="str">
        <f t="shared" si="321"/>
        <v>1+61,1918816896302i</v>
      </c>
      <c r="BA365">
        <f t="shared" si="346"/>
        <v>61.200052162704075</v>
      </c>
      <c r="BB365">
        <f t="shared" si="347"/>
        <v>1.5544557442547493</v>
      </c>
      <c r="BC365" s="41" t="str">
        <f t="shared" si="348"/>
        <v>-1,28348912636086+1,74929679804015i</v>
      </c>
      <c r="BD365">
        <f t="shared" si="349"/>
        <v>6.7277959229084692</v>
      </c>
      <c r="BE365" s="43">
        <f t="shared" si="350"/>
        <v>126.26813706294071</v>
      </c>
      <c r="BF365" s="41" t="str">
        <f t="shared" si="351"/>
        <v>0,227887825983426+0,477247925429181i</v>
      </c>
      <c r="BG365" s="20">
        <f t="shared" si="352"/>
        <v>-5.5330995034671426</v>
      </c>
      <c r="BH365" s="43">
        <f t="shared" si="353"/>
        <v>64.475334826722147</v>
      </c>
      <c r="BI365" s="41" t="str">
        <f t="shared" si="306"/>
        <v>-0,0866383813325836+1,38266691599934i</v>
      </c>
      <c r="BJ365" s="20">
        <f t="shared" si="354"/>
        <v>2.83136982246595</v>
      </c>
      <c r="BK365" s="43">
        <f t="shared" si="307"/>
        <v>93.585485436204678</v>
      </c>
      <c r="BL365">
        <f t="shared" si="355"/>
        <v>-5.5330995034671426</v>
      </c>
      <c r="BM365" s="43">
        <f t="shared" si="356"/>
        <v>64.475334826722147</v>
      </c>
    </row>
    <row r="366" spans="14:65" x14ac:dyDescent="0.25">
      <c r="N366" s="9">
        <v>48</v>
      </c>
      <c r="O366" s="34">
        <f t="shared" si="308"/>
        <v>30199.517204020212</v>
      </c>
      <c r="P366" s="33" t="str">
        <f t="shared" si="309"/>
        <v>54,631621870174</v>
      </c>
      <c r="Q366" s="4" t="str">
        <f t="shared" si="310"/>
        <v>1+847,021317696216i</v>
      </c>
      <c r="R366" s="4">
        <f t="shared" si="322"/>
        <v>847.02190799992536</v>
      </c>
      <c r="S366" s="4">
        <f t="shared" si="323"/>
        <v>1.5696157195132421</v>
      </c>
      <c r="T366" s="4" t="str">
        <f t="shared" si="311"/>
        <v>1+2,86900734123688i</v>
      </c>
      <c r="U366" s="4">
        <f t="shared" si="324"/>
        <v>3.0382895062964477</v>
      </c>
      <c r="V366" s="4">
        <f t="shared" si="325"/>
        <v>1.2354115222137365</v>
      </c>
      <c r="W366" t="str">
        <f t="shared" si="312"/>
        <v>1-0,755076213873342i</v>
      </c>
      <c r="X366" s="4">
        <f t="shared" si="326"/>
        <v>1.2530523088671521</v>
      </c>
      <c r="Y366" s="4">
        <f t="shared" si="327"/>
        <v>-0.64674197765313268</v>
      </c>
      <c r="Z366" t="str">
        <f t="shared" si="313"/>
        <v>0,996351956642576+0,103741364697595i</v>
      </c>
      <c r="AA366" s="4">
        <f t="shared" si="328"/>
        <v>1.0017382353962583</v>
      </c>
      <c r="AB366" s="4">
        <f t="shared" si="329"/>
        <v>0.10374736495473297</v>
      </c>
      <c r="AC366" s="47" t="str">
        <f t="shared" si="330"/>
        <v>0,114519968825986-0,216732757493678i</v>
      </c>
      <c r="AD366" s="20">
        <f t="shared" si="331"/>
        <v>-12.212128911752769</v>
      </c>
      <c r="AE366" s="43">
        <f t="shared" si="332"/>
        <v>-62.14836190179755</v>
      </c>
      <c r="AF366" t="str">
        <f t="shared" si="314"/>
        <v>171,265703090588</v>
      </c>
      <c r="AG366" t="str">
        <f t="shared" si="315"/>
        <v>1+838,915308916841i</v>
      </c>
      <c r="AH366">
        <f t="shared" si="333"/>
        <v>838.91590492434864</v>
      </c>
      <c r="AI366">
        <f t="shared" si="334"/>
        <v>1.5696043119207637</v>
      </c>
      <c r="AJ366" t="str">
        <f t="shared" si="316"/>
        <v>1+2,86900734123688i</v>
      </c>
      <c r="AK366">
        <f t="shared" si="335"/>
        <v>3.0382895062964477</v>
      </c>
      <c r="AL366">
        <f t="shared" si="336"/>
        <v>1.2354115222137365</v>
      </c>
      <c r="AM366" t="str">
        <f t="shared" si="317"/>
        <v>1-0,238554660270861i</v>
      </c>
      <c r="AN366">
        <f t="shared" si="337"/>
        <v>1.0280604680352932</v>
      </c>
      <c r="AO366">
        <f t="shared" si="338"/>
        <v>-0.23417791090238077</v>
      </c>
      <c r="AP366" s="41" t="str">
        <f t="shared" si="339"/>
        <v>0,537419639478457-0,343235018880313i</v>
      </c>
      <c r="AQ366">
        <f t="shared" si="340"/>
        <v>-3.9080042642004624</v>
      </c>
      <c r="AR366" s="43">
        <f t="shared" si="341"/>
        <v>-32.565242343812763</v>
      </c>
      <c r="AS366" t="str">
        <f t="shared" si="318"/>
        <v>-0,0000166666666666667</v>
      </c>
      <c r="AT366" t="str">
        <f t="shared" si="319"/>
        <v>0,000290885466542073i</v>
      </c>
      <c r="AU366">
        <f t="shared" si="342"/>
        <v>2.9088546654207299E-4</v>
      </c>
      <c r="AV366">
        <f t="shared" si="343"/>
        <v>1.5707963267948966</v>
      </c>
      <c r="AW366" t="str">
        <f t="shared" si="320"/>
        <v>1+1,34792458100232i</v>
      </c>
      <c r="AX366">
        <f t="shared" si="344"/>
        <v>1.6783624984103642</v>
      </c>
      <c r="AY366">
        <f t="shared" si="345"/>
        <v>0.93251148582920751</v>
      </c>
      <c r="AZ366" t="str">
        <f t="shared" si="321"/>
        <v>1+62,6172237174716i</v>
      </c>
      <c r="BA366">
        <f t="shared" si="346"/>
        <v>62.625208231860498</v>
      </c>
      <c r="BB366">
        <f t="shared" si="347"/>
        <v>1.5548276373591303</v>
      </c>
      <c r="BC366" s="41" t="str">
        <f t="shared" si="348"/>
        <v>-1,24622972213423+1,73711999567025i</v>
      </c>
      <c r="BD366">
        <f t="shared" si="349"/>
        <v>6.5998028463317526</v>
      </c>
      <c r="BE366" s="43">
        <f t="shared" si="350"/>
        <v>125.65608900548837</v>
      </c>
      <c r="BF366" s="41" t="str">
        <f t="shared" si="351"/>
        <v>0,23377261783019+0,469033731899886i</v>
      </c>
      <c r="BG366" s="20">
        <f t="shared" si="352"/>
        <v>-5.6123260654210139</v>
      </c>
      <c r="BH366" s="43">
        <f t="shared" si="353"/>
        <v>63.50772710369084</v>
      </c>
      <c r="BI366" s="41" t="str">
        <f t="shared" si="306"/>
        <v>-0,0735079134654679+1,36131208400987i</v>
      </c>
      <c r="BJ366" s="20">
        <f t="shared" si="354"/>
        <v>2.6917985821312658</v>
      </c>
      <c r="BK366" s="43">
        <f t="shared" si="307"/>
        <v>93.090846661675599</v>
      </c>
      <c r="BL366">
        <f t="shared" si="355"/>
        <v>-5.6123260654210139</v>
      </c>
      <c r="BM366" s="43">
        <f t="shared" si="356"/>
        <v>63.50772710369084</v>
      </c>
    </row>
    <row r="367" spans="14:65" x14ac:dyDescent="0.25">
      <c r="N367" s="9">
        <v>49</v>
      </c>
      <c r="O367" s="34">
        <f t="shared" si="308"/>
        <v>30902.954325135954</v>
      </c>
      <c r="P367" s="33" t="str">
        <f t="shared" si="309"/>
        <v>54,631621870174</v>
      </c>
      <c r="Q367" s="4" t="str">
        <f t="shared" si="310"/>
        <v>1+866,750978710947i</v>
      </c>
      <c r="R367" s="4">
        <f t="shared" si="322"/>
        <v>866.75155557771257</v>
      </c>
      <c r="S367" s="4">
        <f t="shared" si="323"/>
        <v>1.5696425933918068</v>
      </c>
      <c r="T367" s="4" t="str">
        <f t="shared" si="311"/>
        <v>1+2,93583510708974i</v>
      </c>
      <c r="U367" s="4">
        <f t="shared" si="324"/>
        <v>3.1014718725180512</v>
      </c>
      <c r="V367" s="4">
        <f t="shared" si="325"/>
        <v>1.2425034382020488</v>
      </c>
      <c r="W367" t="str">
        <f t="shared" si="312"/>
        <v>1-0,772664198294474i</v>
      </c>
      <c r="X367" s="4">
        <f t="shared" si="326"/>
        <v>1.2637285955956057</v>
      </c>
      <c r="Y367" s="4">
        <f t="shared" si="327"/>
        <v>-0.65784911105915866</v>
      </c>
      <c r="Z367" t="str">
        <f t="shared" si="313"/>
        <v>0,996180029655914+0,106157811504691i</v>
      </c>
      <c r="AA367" s="4">
        <f t="shared" si="328"/>
        <v>1.0018204092694074</v>
      </c>
      <c r="AB367" s="4">
        <f t="shared" si="329"/>
        <v>0.10616422636198444</v>
      </c>
      <c r="AC367" s="47" t="str">
        <f t="shared" si="330"/>
        <v>0,11379373422148-0,218767536403799i</v>
      </c>
      <c r="AD367" s="20">
        <f t="shared" si="331"/>
        <v>-12.160375025897626</v>
      </c>
      <c r="AE367" s="43">
        <f t="shared" si="332"/>
        <v>-62.518432631784272</v>
      </c>
      <c r="AF367" t="str">
        <f t="shared" si="314"/>
        <v>171,265703090588</v>
      </c>
      <c r="AG367" t="str">
        <f t="shared" si="315"/>
        <v>1+858,456156731647i</v>
      </c>
      <c r="AH367">
        <f t="shared" si="333"/>
        <v>858.45673917237661</v>
      </c>
      <c r="AI367">
        <f t="shared" si="334"/>
        <v>1.569631445467129</v>
      </c>
      <c r="AJ367" t="str">
        <f t="shared" si="316"/>
        <v>1+2,93583510708974i</v>
      </c>
      <c r="AK367">
        <f t="shared" si="335"/>
        <v>3.1014718725180512</v>
      </c>
      <c r="AL367">
        <f t="shared" si="336"/>
        <v>1.2425034382020488</v>
      </c>
      <c r="AM367" t="str">
        <f t="shared" si="317"/>
        <v>1-0,244111312131088i</v>
      </c>
      <c r="AN367">
        <f t="shared" si="337"/>
        <v>1.029364042848963</v>
      </c>
      <c r="AO367">
        <f t="shared" si="338"/>
        <v>-0.23942873573317358</v>
      </c>
      <c r="AP367" s="41" t="str">
        <f t="shared" si="339"/>
        <v>0,537408721236731-0,341857157693763i</v>
      </c>
      <c r="AQ367">
        <f t="shared" si="340"/>
        <v>-3.9182234404526883</v>
      </c>
      <c r="AR367" s="43">
        <f t="shared" si="341"/>
        <v>-32.461310228478006</v>
      </c>
      <c r="AS367" t="str">
        <f t="shared" si="318"/>
        <v>-0,0000166666666666667</v>
      </c>
      <c r="AT367" t="str">
        <f t="shared" si="319"/>
        <v>0,000297661059468821i</v>
      </c>
      <c r="AU367">
        <f t="shared" si="342"/>
        <v>2.9766105946882099E-4</v>
      </c>
      <c r="AV367">
        <f t="shared" si="343"/>
        <v>1.5707963267948966</v>
      </c>
      <c r="AW367" t="str">
        <f t="shared" si="320"/>
        <v>1+1,37932177786265i</v>
      </c>
      <c r="AX367">
        <f t="shared" si="344"/>
        <v>1.7036808876330631</v>
      </c>
      <c r="AY367">
        <f t="shared" si="345"/>
        <v>0.94349207353193543</v>
      </c>
      <c r="AZ367" t="str">
        <f t="shared" si="321"/>
        <v>1+64,0757662261649i</v>
      </c>
      <c r="BA367">
        <f t="shared" si="346"/>
        <v>64.083569013204439</v>
      </c>
      <c r="BB367">
        <f t="shared" si="347"/>
        <v>1.5551910694115243</v>
      </c>
      <c r="BC367" s="41" t="str">
        <f t="shared" si="348"/>
        <v>-1,2094645292621+1,72423286092965i</v>
      </c>
      <c r="BD367">
        <f t="shared" si="349"/>
        <v>6.4697033193931395</v>
      </c>
      <c r="BE367" s="43">
        <f t="shared" si="350"/>
        <v>125.04777079629099</v>
      </c>
      <c r="BF367" s="41" t="str">
        <f t="shared" si="351"/>
        <v>0,239576689978895+0,460798471347021i</v>
      </c>
      <c r="BG367" s="20">
        <f t="shared" si="352"/>
        <v>-5.6906717065044807</v>
      </c>
      <c r="BH367" s="43">
        <f t="shared" si="353"/>
        <v>62.529338164506719</v>
      </c>
      <c r="BI367" s="41" t="str">
        <f t="shared" si="306"/>
        <v>-0,0605354410123344+1,34008188321152i</v>
      </c>
      <c r="BJ367" s="20">
        <f t="shared" si="354"/>
        <v>2.5514798789404516</v>
      </c>
      <c r="BK367" s="43">
        <f t="shared" si="307"/>
        <v>92.586460567812964</v>
      </c>
      <c r="BL367">
        <f t="shared" si="355"/>
        <v>-5.6906717065044807</v>
      </c>
      <c r="BM367" s="43">
        <f t="shared" si="356"/>
        <v>62.529338164506719</v>
      </c>
    </row>
    <row r="368" spans="14:65" x14ac:dyDescent="0.25">
      <c r="N368" s="9">
        <v>50</v>
      </c>
      <c r="O368" s="34">
        <f t="shared" si="308"/>
        <v>31622.77660168384</v>
      </c>
      <c r="P368" s="33" t="str">
        <f t="shared" si="309"/>
        <v>54,631621870174</v>
      </c>
      <c r="Q368" s="4" t="str">
        <f t="shared" si="310"/>
        <v>1+886,940202567396i</v>
      </c>
      <c r="R368" s="4">
        <f t="shared" si="322"/>
        <v>886.94076630307927</v>
      </c>
      <c r="S368" s="4">
        <f t="shared" si="323"/>
        <v>1.5696688555478218</v>
      </c>
      <c r="T368" s="4" t="str">
        <f t="shared" si="311"/>
        <v>1+3,00421949157674i</v>
      </c>
      <c r="U368" s="4">
        <f t="shared" si="324"/>
        <v>3.1662809025052736</v>
      </c>
      <c r="V368" s="4">
        <f t="shared" si="325"/>
        <v>1.2494671880829706</v>
      </c>
      <c r="W368" t="str">
        <f t="shared" si="312"/>
        <v>1-0,790661859500961i</v>
      </c>
      <c r="X368" s="4">
        <f t="shared" si="326"/>
        <v>1.2748122120804763</v>
      </c>
      <c r="Y368" s="4">
        <f t="shared" si="327"/>
        <v>-0.66902096060766791</v>
      </c>
      <c r="Z368" t="str">
        <f t="shared" si="313"/>
        <v>0,996+0,108630544588612i</v>
      </c>
      <c r="AA368" s="4">
        <f t="shared" si="328"/>
        <v>1.0019064802752893</v>
      </c>
      <c r="AB368" s="4">
        <f t="shared" si="329"/>
        <v>0.10863740192827476</v>
      </c>
      <c r="AC368" s="47" t="str">
        <f t="shared" si="330"/>
        <v>0,113033835249597-0,220913591500311i</v>
      </c>
      <c r="AD368" s="20">
        <f t="shared" si="331"/>
        <v>-12.105641039190207</v>
      </c>
      <c r="AE368" s="43">
        <f t="shared" si="332"/>
        <v>-62.902746215151346</v>
      </c>
      <c r="AF368" t="str">
        <f t="shared" si="314"/>
        <v>171,265703090588</v>
      </c>
      <c r="AG368" t="str">
        <f t="shared" si="315"/>
        <v>1+878,452169363762i</v>
      </c>
      <c r="AH368">
        <f t="shared" si="333"/>
        <v>878.4527385465309</v>
      </c>
      <c r="AI368">
        <f t="shared" si="334"/>
        <v>1.5696579613802313</v>
      </c>
      <c r="AJ368" t="str">
        <f t="shared" si="316"/>
        <v>1+3,00421949157674i</v>
      </c>
      <c r="AK368">
        <f t="shared" si="335"/>
        <v>3.1662809025052736</v>
      </c>
      <c r="AL368">
        <f t="shared" si="336"/>
        <v>1.2494671880829706</v>
      </c>
      <c r="AM368" t="str">
        <f t="shared" si="317"/>
        <v>1-0,249797395040202i</v>
      </c>
      <c r="AN368">
        <f t="shared" si="337"/>
        <v>1.0307272862250572</v>
      </c>
      <c r="AO368">
        <f t="shared" si="338"/>
        <v>-0.24478796701737099</v>
      </c>
      <c r="AP368" s="41" t="str">
        <f t="shared" si="339"/>
        <v>0,537398294395524-0,340660552552083i</v>
      </c>
      <c r="AQ368">
        <f t="shared" si="340"/>
        <v>-3.9270956924409779</v>
      </c>
      <c r="AR368" s="43">
        <f t="shared" si="341"/>
        <v>-32.370897334646102</v>
      </c>
      <c r="AS368" t="str">
        <f t="shared" si="318"/>
        <v>-0,0000166666666666667</v>
      </c>
      <c r="AT368" t="str">
        <f t="shared" si="319"/>
        <v>0,000304594476229309i</v>
      </c>
      <c r="AU368">
        <f t="shared" si="342"/>
        <v>3.0459447622930902E-4</v>
      </c>
      <c r="AV368">
        <f t="shared" si="343"/>
        <v>1.5707963267948966</v>
      </c>
      <c r="AW368" t="str">
        <f t="shared" si="320"/>
        <v>1+1,41145030938708i</v>
      </c>
      <c r="AX368">
        <f t="shared" si="344"/>
        <v>1.7297953566445032</v>
      </c>
      <c r="AY368">
        <f t="shared" si="345"/>
        <v>0.95439433267880092</v>
      </c>
      <c r="AZ368" t="str">
        <f t="shared" si="321"/>
        <v>1+65,5682825542543i</v>
      </c>
      <c r="BA368">
        <f t="shared" si="346"/>
        <v>65.575907749069927</v>
      </c>
      <c r="BB368">
        <f t="shared" si="347"/>
        <v>1.5555462327241705</v>
      </c>
      <c r="BC368" s="41" t="str">
        <f t="shared" si="348"/>
        <v>-1,17322196407514+1,71066206462639i</v>
      </c>
      <c r="BD368">
        <f t="shared" si="349"/>
        <v>6.3375262109098882</v>
      </c>
      <c r="BE368" s="43">
        <f t="shared" si="350"/>
        <v>124.44346671886977</v>
      </c>
      <c r="BF368" s="41" t="str">
        <f t="shared" si="351"/>
        <v>0,245294722341475+0,452543371691603i</v>
      </c>
      <c r="BG368" s="20">
        <f t="shared" si="352"/>
        <v>-5.7681148282803152</v>
      </c>
      <c r="BH368" s="43">
        <f t="shared" si="353"/>
        <v>61.54072050371844</v>
      </c>
      <c r="BI368" s="41" t="str">
        <f t="shared" si="306"/>
        <v>-0,0477323982758339+1,31897731836542i</v>
      </c>
      <c r="BJ368" s="20">
        <f t="shared" si="354"/>
        <v>2.4104305184688806</v>
      </c>
      <c r="BK368" s="43">
        <f t="shared" si="307"/>
        <v>92.072569384223684</v>
      </c>
      <c r="BL368">
        <f t="shared" si="355"/>
        <v>-5.7681148282803152</v>
      </c>
      <c r="BM368" s="43">
        <f t="shared" si="356"/>
        <v>61.54072050371844</v>
      </c>
    </row>
    <row r="369" spans="14:65" x14ac:dyDescent="0.25">
      <c r="N369" s="9">
        <v>51</v>
      </c>
      <c r="O369" s="34">
        <f t="shared" si="308"/>
        <v>32359.365692962871</v>
      </c>
      <c r="P369" s="33" t="str">
        <f t="shared" si="309"/>
        <v>54,631621870174</v>
      </c>
      <c r="Q369" s="4" t="str">
        <f t="shared" si="310"/>
        <v>1+907,599693859288i</v>
      </c>
      <c r="R369" s="4">
        <f t="shared" si="322"/>
        <v>907.60024476278829</v>
      </c>
      <c r="S369" s="4">
        <f t="shared" si="323"/>
        <v>1.5696945199056851</v>
      </c>
      <c r="T369" s="4" t="str">
        <f t="shared" si="311"/>
        <v>1+3,07419675300373i</v>
      </c>
      <c r="U369" s="4">
        <f t="shared" si="324"/>
        <v>3.2327520282537408</v>
      </c>
      <c r="V369" s="4">
        <f t="shared" si="325"/>
        <v>1.2563037616420418</v>
      </c>
      <c r="W369" t="str">
        <f t="shared" si="312"/>
        <v>1-0,809078740091003i</v>
      </c>
      <c r="X369" s="4">
        <f t="shared" si="326"/>
        <v>1.2863158273407216</v>
      </c>
      <c r="Y369" s="4">
        <f t="shared" si="327"/>
        <v>-0.68025229542715171</v>
      </c>
      <c r="Z369" t="str">
        <f t="shared" si="313"/>
        <v>0,995811485807796+0,111160875025168i</v>
      </c>
      <c r="AA369" s="4">
        <f t="shared" si="328"/>
        <v>1.0019966344270279</v>
      </c>
      <c r="AB369" s="4">
        <f t="shared" si="329"/>
        <v>0.11116820450824576</v>
      </c>
      <c r="AC369" s="47" t="str">
        <f t="shared" si="330"/>
        <v>0,112238695027031-0,223171724484028i</v>
      </c>
      <c r="AD369" s="20">
        <f t="shared" si="331"/>
        <v>-12.047935341850096</v>
      </c>
      <c r="AE369" s="43">
        <f t="shared" si="332"/>
        <v>-63.301022253343397</v>
      </c>
      <c r="AF369" t="str">
        <f t="shared" si="314"/>
        <v>171,265703090588</v>
      </c>
      <c r="AG369" t="str">
        <f t="shared" si="315"/>
        <v>1+898,913948963762i</v>
      </c>
      <c r="AH369">
        <f t="shared" si="333"/>
        <v>898.9145051903572</v>
      </c>
      <c r="AI369">
        <f t="shared" si="334"/>
        <v>1.5696838737190093</v>
      </c>
      <c r="AJ369" t="str">
        <f t="shared" si="316"/>
        <v>1+3,07419675300373i</v>
      </c>
      <c r="AK369">
        <f t="shared" si="335"/>
        <v>3.2327520282537408</v>
      </c>
      <c r="AL369">
        <f t="shared" si="336"/>
        <v>1.2563037616420418</v>
      </c>
      <c r="AM369" t="str">
        <f t="shared" si="317"/>
        <v>1-0,255615923834626i</v>
      </c>
      <c r="AN369">
        <f t="shared" si="337"/>
        <v>1.032152847459052</v>
      </c>
      <c r="AO369">
        <f t="shared" si="338"/>
        <v>-0.25025721436458681</v>
      </c>
      <c r="AP369" s="41" t="str">
        <f t="shared" si="339"/>
        <v>0,537388336838289-0,339644569075825i</v>
      </c>
      <c r="AQ369">
        <f t="shared" si="340"/>
        <v>-3.9346315748603518</v>
      </c>
      <c r="AR369" s="43">
        <f t="shared" si="341"/>
        <v>-32.294039981138511</v>
      </c>
      <c r="AS369" t="str">
        <f t="shared" si="318"/>
        <v>-0,0000166666666666667</v>
      </c>
      <c r="AT369" t="str">
        <f t="shared" si="319"/>
        <v>0,000311689393012879i</v>
      </c>
      <c r="AU369">
        <f t="shared" si="342"/>
        <v>3.11689393012879E-4</v>
      </c>
      <c r="AV369">
        <f t="shared" si="343"/>
        <v>1.5707963267948966</v>
      </c>
      <c r="AW369" t="str">
        <f t="shared" si="320"/>
        <v>1+1,4443272105483i</v>
      </c>
      <c r="AX369">
        <f t="shared" si="344"/>
        <v>1.756724534789172</v>
      </c>
      <c r="AY369">
        <f t="shared" si="345"/>
        <v>0.96521367732348184</v>
      </c>
      <c r="AZ369" t="str">
        <f t="shared" si="321"/>
        <v>1+67,0955640536528i</v>
      </c>
      <c r="BA369">
        <f t="shared" si="346"/>
        <v>67.103015697342727</v>
      </c>
      <c r="BB369">
        <f t="shared" si="347"/>
        <v>1.5558933152507477</v>
      </c>
      <c r="BC369" s="41" t="str">
        <f t="shared" si="348"/>
        <v>-1,13752854936586+1,69643547333902i</v>
      </c>
      <c r="BD369">
        <f t="shared" si="349"/>
        <v>6.2033019597097292</v>
      </c>
      <c r="BE369" s="43">
        <f t="shared" si="350"/>
        <v>123.843450297548</v>
      </c>
      <c r="BF369" s="41" t="str">
        <f t="shared" si="351"/>
        <v>0,250921710124132+0,444269911736929i</v>
      </c>
      <c r="BG369" s="20">
        <f t="shared" si="352"/>
        <v>-5.8446333821403629</v>
      </c>
      <c r="BH369" s="43">
        <f t="shared" si="353"/>
        <v>60.542428044204577</v>
      </c>
      <c r="BI369" s="41" t="str">
        <f t="shared" si="306"/>
        <v>-0,0351094799426164+1,29800003153195i</v>
      </c>
      <c r="BJ369" s="20">
        <f t="shared" si="354"/>
        <v>2.2686703848493943</v>
      </c>
      <c r="BK369" s="43">
        <f t="shared" si="307"/>
        <v>91.549410316409478</v>
      </c>
      <c r="BL369">
        <f t="shared" si="355"/>
        <v>-5.8446333821403629</v>
      </c>
      <c r="BM369" s="43">
        <f t="shared" si="356"/>
        <v>60.542428044204577</v>
      </c>
    </row>
    <row r="370" spans="14:65" x14ac:dyDescent="0.25">
      <c r="N370" s="9">
        <v>52</v>
      </c>
      <c r="O370" s="34">
        <f t="shared" si="308"/>
        <v>33113.11214825909</v>
      </c>
      <c r="P370" s="33" t="str">
        <f t="shared" si="309"/>
        <v>54,631621870174</v>
      </c>
      <c r="Q370" s="4" t="str">
        <f t="shared" si="310"/>
        <v>1+928,740406522366i</v>
      </c>
      <c r="R370" s="4">
        <f t="shared" si="322"/>
        <v>928.74094488577896</v>
      </c>
      <c r="S370" s="4">
        <f t="shared" si="323"/>
        <v>1.5697196000728435</v>
      </c>
      <c r="T370" s="4" t="str">
        <f t="shared" si="311"/>
        <v>1+3,14580399424096i</v>
      </c>
      <c r="U370" s="4">
        <f t="shared" si="324"/>
        <v>3.3009215031839791</v>
      </c>
      <c r="V370" s="4">
        <f t="shared" si="325"/>
        <v>1.2630142265876965</v>
      </c>
      <c r="W370" t="str">
        <f t="shared" si="312"/>
        <v>1-0,827924604938464i</v>
      </c>
      <c r="X370" s="4">
        <f t="shared" si="326"/>
        <v>1.2982523450633592</v>
      </c>
      <c r="Y370" s="4">
        <f t="shared" si="327"/>
        <v>-0.69153773713504074</v>
      </c>
      <c r="Z370" t="str">
        <f t="shared" si="313"/>
        <v>0,995614087215427+0,113750144429051i</v>
      </c>
      <c r="AA370" s="4">
        <f t="shared" si="328"/>
        <v>1.002091066729685</v>
      </c>
      <c r="AB370" s="4">
        <f t="shared" si="329"/>
        <v>0.11375797759648716</v>
      </c>
      <c r="AC370" s="47" t="str">
        <f t="shared" si="330"/>
        <v>0,111406665295585-0,225542772578157i</v>
      </c>
      <c r="AD370" s="20">
        <f t="shared" si="331"/>
        <v>-11.987267534264546</v>
      </c>
      <c r="AE370" s="43">
        <f t="shared" si="332"/>
        <v>-63.71296916877003</v>
      </c>
      <c r="AF370" t="str">
        <f t="shared" si="314"/>
        <v>171,265703090588</v>
      </c>
      <c r="AG370" t="str">
        <f t="shared" si="315"/>
        <v>1+919,852344638036i</v>
      </c>
      <c r="AH370">
        <f t="shared" si="333"/>
        <v>919.85288820337576</v>
      </c>
      <c r="AI370">
        <f t="shared" si="334"/>
        <v>1.5697091962223888</v>
      </c>
      <c r="AJ370" t="str">
        <f t="shared" si="316"/>
        <v>1+3,14580399424096i</v>
      </c>
      <c r="AK370">
        <f t="shared" si="335"/>
        <v>3.3009215031839791</v>
      </c>
      <c r="AL370">
        <f t="shared" si="336"/>
        <v>1.2630142265876965</v>
      </c>
      <c r="AM370" t="str">
        <f t="shared" si="317"/>
        <v>1-0,261569983575343i</v>
      </c>
      <c r="AN370">
        <f t="shared" si="337"/>
        <v>1.0336434860761254</v>
      </c>
      <c r="AO370">
        <f t="shared" si="338"/>
        <v>-0.25583806828797229</v>
      </c>
      <c r="AP370" s="41" t="str">
        <f t="shared" si="339"/>
        <v>0,537378827443869-0,33880866864843i</v>
      </c>
      <c r="AQ370">
        <f t="shared" si="340"/>
        <v>-3.9408401123536327</v>
      </c>
      <c r="AR370" s="43">
        <f t="shared" si="341"/>
        <v>-32.230768909641334</v>
      </c>
      <c r="AS370" t="str">
        <f t="shared" si="318"/>
        <v>-0,0000166666666666667</v>
      </c>
      <c r="AT370" t="str">
        <f t="shared" si="319"/>
        <v>0,00031894957163832i</v>
      </c>
      <c r="AU370">
        <f t="shared" si="342"/>
        <v>3.1894957163832002E-4</v>
      </c>
      <c r="AV370">
        <f t="shared" si="343"/>
        <v>1.5707963267948966</v>
      </c>
      <c r="AW370" t="str">
        <f t="shared" si="320"/>
        <v>1+1,47796991311448i</v>
      </c>
      <c r="AX370">
        <f t="shared" si="344"/>
        <v>1.7844873392858867</v>
      </c>
      <c r="AY370">
        <f t="shared" si="345"/>
        <v>0.97594571219088522</v>
      </c>
      <c r="AZ370" t="str">
        <f t="shared" si="321"/>
        <v>1+68,6584205092272i</v>
      </c>
      <c r="BA370">
        <f t="shared" si="346"/>
        <v>68.665702550996087</v>
      </c>
      <c r="BB370">
        <f t="shared" si="347"/>
        <v>1.5562325006843198</v>
      </c>
      <c r="BC370" s="41" t="str">
        <f t="shared" si="348"/>
        <v>-1,10240886453648+1,68158199829322i</v>
      </c>
      <c r="BD370">
        <f t="shared" si="349"/>
        <v>6.0670624650549954</v>
      </c>
      <c r="BE370" s="43">
        <f t="shared" si="350"/>
        <v>123.24798388787444</v>
      </c>
      <c r="BF370" s="41" t="str">
        <f t="shared" si="351"/>
        <v>0,256452970822269+0,435979794673229i</v>
      </c>
      <c r="BG370" s="20">
        <f t="shared" si="352"/>
        <v>-5.92020506920956</v>
      </c>
      <c r="BH370" s="43">
        <f t="shared" si="353"/>
        <v>59.53501471910441</v>
      </c>
      <c r="BI370" s="41" t="str">
        <f t="shared" ref="BI370:BI433" si="357">IMPRODUCT(AP370,BC370)</f>
        <v>-0,0226766249234482+1,27715224219336i</v>
      </c>
      <c r="BJ370" s="20">
        <f t="shared" si="354"/>
        <v>2.1262223527013551</v>
      </c>
      <c r="BK370" s="43">
        <f t="shared" ref="BK370:BK433" si="358">(180/PI())*IMARGUMENT(BI370)</f>
        <v>91.017214978233127</v>
      </c>
      <c r="BL370">
        <f t="shared" si="355"/>
        <v>-5.92020506920956</v>
      </c>
      <c r="BM370" s="43">
        <f t="shared" si="356"/>
        <v>59.53501471910441</v>
      </c>
    </row>
    <row r="371" spans="14:65" x14ac:dyDescent="0.25">
      <c r="N371" s="9">
        <v>53</v>
      </c>
      <c r="O371" s="34">
        <f t="shared" si="308"/>
        <v>33884.41561392029</v>
      </c>
      <c r="P371" s="33" t="str">
        <f t="shared" si="309"/>
        <v>54,631621870174</v>
      </c>
      <c r="Q371" s="4" t="str">
        <f t="shared" si="310"/>
        <v>1+950,373549642322i</v>
      </c>
      <c r="R371" s="4">
        <f t="shared" si="322"/>
        <v>950.37407575109444</v>
      </c>
      <c r="S371" s="4">
        <f t="shared" si="323"/>
        <v>1.5697441093470073</v>
      </c>
      <c r="T371" s="4" t="str">
        <f t="shared" si="311"/>
        <v>1+3,2190791823956i</v>
      </c>
      <c r="U371" s="4">
        <f t="shared" si="324"/>
        <v>3.3708264242664177</v>
      </c>
      <c r="V371" s="4">
        <f t="shared" si="325"/>
        <v>1.2695997226569962</v>
      </c>
      <c r="W371" t="str">
        <f t="shared" si="312"/>
        <v>1-0,847209446370346i</v>
      </c>
      <c r="X371" s="4">
        <f t="shared" si="326"/>
        <v>1.3106349018773871</v>
      </c>
      <c r="Y371" s="4">
        <f t="shared" si="327"/>
        <v>-0.7028717715210695</v>
      </c>
      <c r="Z371" t="str">
        <f t="shared" si="313"/>
        <v>0,995407385514012+0,116399725665172i</v>
      </c>
      <c r="AA371" s="4">
        <f t="shared" si="328"/>
        <v>1.0021899816256239</v>
      </c>
      <c r="AB371" s="4">
        <f t="shared" si="329"/>
        <v>0.11640809604293079</v>
      </c>
      <c r="AC371" s="47" t="str">
        <f t="shared" si="330"/>
        <v>0,110536023252202-0,228027607280589i</v>
      </c>
      <c r="AD371" s="20">
        <f t="shared" si="331"/>
        <v>-11.923648514105068</v>
      </c>
      <c r="AE371" s="43">
        <f t="shared" si="332"/>
        <v>-64.138285253334487</v>
      </c>
      <c r="AF371" t="str">
        <f t="shared" si="314"/>
        <v>171,265703090588</v>
      </c>
      <c r="AG371" t="str">
        <f t="shared" si="315"/>
        <v>1+941,278458201129i</v>
      </c>
      <c r="AH371">
        <f t="shared" si="333"/>
        <v>941.2789893934181</v>
      </c>
      <c r="AI371">
        <f t="shared" si="334"/>
        <v>1.5697339423165662</v>
      </c>
      <c r="AJ371" t="str">
        <f t="shared" si="316"/>
        <v>1+3,2190791823956i</v>
      </c>
      <c r="AK371">
        <f t="shared" si="335"/>
        <v>3.3708264242664177</v>
      </c>
      <c r="AL371">
        <f t="shared" si="336"/>
        <v>1.2695997226569962</v>
      </c>
      <c r="AM371" t="str">
        <f t="shared" si="317"/>
        <v>1-0,267662731183642i</v>
      </c>
      <c r="AN371">
        <f t="shared" si="337"/>
        <v>1.03520207576332</v>
      </c>
      <c r="AO371">
        <f t="shared" si="338"/>
        <v>-0.26153209668087829</v>
      </c>
      <c r="AP371" s="41" t="str">
        <f t="shared" si="339"/>
        <v>0,537369746041712-0,338152408131002i</v>
      </c>
      <c r="AQ371">
        <f t="shared" si="340"/>
        <v>-3.9457287813781488</v>
      </c>
      <c r="AR371" s="43">
        <f t="shared" si="341"/>
        <v>-32.181109420967495</v>
      </c>
      <c r="AS371" t="str">
        <f t="shared" si="318"/>
        <v>-0,0000166666666666667</v>
      </c>
      <c r="AT371" t="str">
        <f t="shared" si="319"/>
        <v>0,000326378861548442i</v>
      </c>
      <c r="AU371">
        <f t="shared" si="342"/>
        <v>3.2637886154844202E-4</v>
      </c>
      <c r="AV371">
        <f t="shared" si="343"/>
        <v>1.5707963267948966</v>
      </c>
      <c r="AW371" t="str">
        <f t="shared" si="320"/>
        <v>1+1,51239625489185i</v>
      </c>
      <c r="AX371">
        <f t="shared" si="344"/>
        <v>1.8131029843367676</v>
      </c>
      <c r="AY371">
        <f t="shared" si="345"/>
        <v>0.98658623893121911</v>
      </c>
      <c r="AZ371" t="str">
        <f t="shared" si="321"/>
        <v>1+70,2576805681578i</v>
      </c>
      <c r="BA371">
        <f t="shared" si="346"/>
        <v>70.264796867402225</v>
      </c>
      <c r="BB371">
        <f t="shared" si="347"/>
        <v>1.5565639685531367</v>
      </c>
      <c r="BC371" s="41" t="str">
        <f t="shared" si="348"/>
        <v>-1,06788550923336+1,6661314434395i</v>
      </c>
      <c r="BD371">
        <f t="shared" si="349"/>
        <v>5.9288409746206385</v>
      </c>
      <c r="BE371" s="43">
        <f t="shared" si="350"/>
        <v>122.65731832378472</v>
      </c>
      <c r="BF371" s="41" t="str">
        <f t="shared" si="351"/>
        <v>0,261884148983155+0,42767492149335i</v>
      </c>
      <c r="BG371" s="20">
        <f t="shared" si="352"/>
        <v>-5.9948075394844231</v>
      </c>
      <c r="BH371" s="43">
        <f t="shared" si="353"/>
        <v>58.51903307045027</v>
      </c>
      <c r="BI371" s="41" t="str">
        <f t="shared" si="357"/>
        <v>-0,0104430050365055+1,25643668718866i</v>
      </c>
      <c r="BJ371" s="20">
        <f t="shared" si="354"/>
        <v>1.9831121932425098</v>
      </c>
      <c r="BK371" s="43">
        <f t="shared" si="358"/>
        <v>90.476208902817234</v>
      </c>
      <c r="BL371">
        <f t="shared" si="355"/>
        <v>-5.9948075394844231</v>
      </c>
      <c r="BM371" s="43">
        <f t="shared" si="356"/>
        <v>58.51903307045027</v>
      </c>
    </row>
    <row r="372" spans="14:65" x14ac:dyDescent="0.25">
      <c r="N372" s="9">
        <v>54</v>
      </c>
      <c r="O372" s="34">
        <f t="shared" si="308"/>
        <v>34673.685045253202</v>
      </c>
      <c r="P372" s="33" t="str">
        <f t="shared" si="309"/>
        <v>54,631621870174</v>
      </c>
      <c r="Q372" s="4" t="str">
        <f t="shared" si="310"/>
        <v>1+972,510593397969i</v>
      </c>
      <c r="R372" s="4">
        <f t="shared" si="322"/>
        <v>972.51110753105024</v>
      </c>
      <c r="S372" s="4">
        <f t="shared" si="323"/>
        <v>1.5697680607232005</v>
      </c>
      <c r="T372" s="4" t="str">
        <f t="shared" si="311"/>
        <v>1+3,29406116894226i</v>
      </c>
      <c r="U372" s="4">
        <f t="shared" si="324"/>
        <v>3.442504754496825</v>
      </c>
      <c r="V372" s="4">
        <f t="shared" si="325"/>
        <v>1.276061455911965</v>
      </c>
      <c r="W372" t="str">
        <f t="shared" si="312"/>
        <v>1-0,866943489464829i</v>
      </c>
      <c r="X372" s="4">
        <f t="shared" si="326"/>
        <v>1.3234768656555558</v>
      </c>
      <c r="Y372" s="4">
        <f t="shared" si="327"/>
        <v>-0.71424876104055268</v>
      </c>
      <c r="Z372" t="str">
        <f t="shared" si="313"/>
        <v>0,99519094226153+0,119111023576572i</v>
      </c>
      <c r="AA372" s="4">
        <f t="shared" si="328"/>
        <v>1.0022935934629387</v>
      </c>
      <c r="AB372" s="4">
        <f t="shared" si="329"/>
        <v>0.11911996678472454</v>
      </c>
      <c r="AC372" s="47" t="str">
        <f t="shared" si="330"/>
        <v>0,109624968252419-0,230627133015533i</v>
      </c>
      <c r="AD372" s="20">
        <f t="shared" si="331"/>
        <v>-11.857090559336159</v>
      </c>
      <c r="AE372" s="43">
        <f t="shared" si="332"/>
        <v>-64.576659753375651</v>
      </c>
      <c r="AF372" t="str">
        <f t="shared" si="314"/>
        <v>171,265703090588</v>
      </c>
      <c r="AG372" t="str">
        <f t="shared" si="315"/>
        <v>1+963,203650062044i</v>
      </c>
      <c r="AH372">
        <f t="shared" si="333"/>
        <v>963.20416916292697</v>
      </c>
      <c r="AI372">
        <f t="shared" si="334"/>
        <v>1.5697581251221269</v>
      </c>
      <c r="AJ372" t="str">
        <f t="shared" si="316"/>
        <v>1+3,29406116894226i</v>
      </c>
      <c r="AK372">
        <f t="shared" si="335"/>
        <v>3.442504754496825</v>
      </c>
      <c r="AL372">
        <f t="shared" si="336"/>
        <v>1.276061455911965</v>
      </c>
      <c r="AM372" t="str">
        <f t="shared" si="317"/>
        <v>1-0,273897397114947i</v>
      </c>
      <c r="AN372">
        <f t="shared" si="337"/>
        <v>1.0368316083850564</v>
      </c>
      <c r="AO372">
        <f t="shared" si="338"/>
        <v>-0.26734084109118939</v>
      </c>
      <c r="AP372" s="41" t="str">
        <f t="shared" si="339"/>
        <v>0,537361073369079-0,337675439627653i</v>
      </c>
      <c r="AQ372">
        <f t="shared" si="340"/>
        <v>-3.9493034953616633</v>
      </c>
      <c r="AR372" s="43">
        <f t="shared" si="341"/>
        <v>-32.145081488794865</v>
      </c>
      <c r="AS372" t="str">
        <f t="shared" si="318"/>
        <v>-0,0000166666666666667</v>
      </c>
      <c r="AT372" t="str">
        <f t="shared" si="319"/>
        <v>0,000333981201851091i</v>
      </c>
      <c r="AU372">
        <f t="shared" si="342"/>
        <v>3.3398120185109098E-4</v>
      </c>
      <c r="AV372">
        <f t="shared" si="343"/>
        <v>1.5707963267948966</v>
      </c>
      <c r="AW372" t="str">
        <f t="shared" si="320"/>
        <v>1+1,54762448918248i</v>
      </c>
      <c r="AX372">
        <f t="shared" si="344"/>
        <v>1.8425909908379918</v>
      </c>
      <c r="AY372">
        <f t="shared" si="345"/>
        <v>0.99713126138079911</v>
      </c>
      <c r="AZ372" t="str">
        <f t="shared" si="321"/>
        <v>1+71,8941921792953i</v>
      </c>
      <c r="BA372">
        <f t="shared" si="346"/>
        <v>71.901146507642324</v>
      </c>
      <c r="BB372">
        <f t="shared" si="347"/>
        <v>1.5568878943143332</v>
      </c>
      <c r="BC372" s="41" t="str">
        <f t="shared" si="348"/>
        <v>-1,03397908018829+1,65011435403785i</v>
      </c>
      <c r="BD372">
        <f t="shared" si="349"/>
        <v>5.7886719707876031</v>
      </c>
      <c r="BE372" s="43">
        <f t="shared" si="350"/>
        <v>122.07169262154495</v>
      </c>
      <c r="BF372" s="41" t="str">
        <f t="shared" si="351"/>
        <v>0,267211218780221+0,419357364536123i</v>
      </c>
      <c r="BG372" s="20">
        <f t="shared" si="352"/>
        <v>-6.0684185885485604</v>
      </c>
      <c r="BH372" s="43">
        <f t="shared" si="353"/>
        <v>57.495032868169282</v>
      </c>
      <c r="BI372" s="41" t="str">
        <f t="shared" si="357"/>
        <v>0,00158298156447911+1,23585656093588i</v>
      </c>
      <c r="BJ372" s="20">
        <f t="shared" si="354"/>
        <v>1.8393684754259363</v>
      </c>
      <c r="BK372" s="43">
        <f t="shared" si="358"/>
        <v>89.926611132750097</v>
      </c>
      <c r="BL372">
        <f t="shared" si="355"/>
        <v>-6.0684185885485604</v>
      </c>
      <c r="BM372" s="43">
        <f t="shared" si="356"/>
        <v>57.495032868169282</v>
      </c>
    </row>
    <row r="373" spans="14:65" x14ac:dyDescent="0.25">
      <c r="N373" s="9">
        <v>55</v>
      </c>
      <c r="O373" s="34">
        <f t="shared" si="308"/>
        <v>35481.33892335758</v>
      </c>
      <c r="P373" s="33" t="str">
        <f t="shared" si="309"/>
        <v>54,631621870174</v>
      </c>
      <c r="Q373" s="4" t="str">
        <f t="shared" si="310"/>
        <v>1+995,163275142944i</v>
      </c>
      <c r="R373" s="4">
        <f t="shared" si="322"/>
        <v>995.16377757293355</v>
      </c>
      <c r="S373" s="4">
        <f t="shared" si="323"/>
        <v>1.5697914669006494</v>
      </c>
      <c r="T373" s="4" t="str">
        <f t="shared" si="311"/>
        <v>1+3,37078971032278i</v>
      </c>
      <c r="U373" s="4">
        <f t="shared" si="324"/>
        <v>3.5159953457332573</v>
      </c>
      <c r="V373" s="4">
        <f t="shared" si="325"/>
        <v>1.2824006932345133</v>
      </c>
      <c r="W373" t="str">
        <f t="shared" si="312"/>
        <v>1-0,887137197472787i</v>
      </c>
      <c r="X373" s="4">
        <f t="shared" si="326"/>
        <v>1.3367918338843452</v>
      </c>
      <c r="Y373" s="4">
        <f t="shared" si="327"/>
        <v>-0.72566295805537551</v>
      </c>
      <c r="Z373" t="str">
        <f t="shared" si="313"/>
        <v>0,994964298352823+0,121885475729295i</v>
      </c>
      <c r="AA373" s="4">
        <f t="shared" si="328"/>
        <v>1.0024021269882073</v>
      </c>
      <c r="AB373" s="4">
        <f t="shared" si="329"/>
        <v>0.121895029594923</v>
      </c>
      <c r="AC373" s="47" t="str">
        <f t="shared" si="330"/>
        <v>0,108671618383269-0,233342285675603i</v>
      </c>
      <c r="AD373" s="20">
        <f t="shared" si="331"/>
        <v>-11.787607406264025</v>
      </c>
      <c r="AE373" s="43">
        <f t="shared" si="332"/>
        <v>-65.027773987032404</v>
      </c>
      <c r="AF373" t="str">
        <f t="shared" si="314"/>
        <v>171,265703090588</v>
      </c>
      <c r="AG373" t="str">
        <f t="shared" si="315"/>
        <v>1+985,639545247737i</v>
      </c>
      <c r="AH373">
        <f t="shared" si="333"/>
        <v>985.6400525324475</v>
      </c>
      <c r="AI373">
        <f t="shared" si="334"/>
        <v>1.5697817574610011</v>
      </c>
      <c r="AJ373" t="str">
        <f t="shared" si="316"/>
        <v>1+3,37078971032278i</v>
      </c>
      <c r="AK373">
        <f t="shared" si="335"/>
        <v>3.5159953457332573</v>
      </c>
      <c r="AL373">
        <f t="shared" si="336"/>
        <v>1.2824006932345133</v>
      </c>
      <c r="AM373" t="str">
        <f t="shared" si="317"/>
        <v>1-0,280277287071665i</v>
      </c>
      <c r="AN373">
        <f t="shared" si="337"/>
        <v>1.0385351980786459</v>
      </c>
      <c r="AO373">
        <f t="shared" si="338"/>
        <v>-0.27326581278947387</v>
      </c>
      <c r="AP373" s="41" t="str">
        <f t="shared" si="339"/>
        <v>0,537352791030192-0,337377510301351i</v>
      </c>
      <c r="AQ373">
        <f t="shared" si="340"/>
        <v>-3.9515685930753177</v>
      </c>
      <c r="AR373" s="43">
        <f t="shared" si="341"/>
        <v>-32.122699850204683</v>
      </c>
      <c r="AS373" t="str">
        <f t="shared" si="318"/>
        <v>-0,0000166666666666667</v>
      </c>
      <c r="AT373" t="str">
        <f t="shared" si="319"/>
        <v>0,000341760623407725i</v>
      </c>
      <c r="AU373">
        <f t="shared" si="342"/>
        <v>3.41760623407725E-4</v>
      </c>
      <c r="AV373">
        <f t="shared" si="343"/>
        <v>1.5707963267948966</v>
      </c>
      <c r="AW373" t="str">
        <f t="shared" si="320"/>
        <v>1+1,58367329446252i</v>
      </c>
      <c r="AX373">
        <f t="shared" si="344"/>
        <v>1.8729711966802298</v>
      </c>
      <c r="AY373">
        <f t="shared" si="345"/>
        <v>1.0075769898370248</v>
      </c>
      <c r="AZ373" t="str">
        <f t="shared" si="321"/>
        <v>1+73,568823042759i</v>
      </c>
      <c r="BA373">
        <f t="shared" si="346"/>
        <v>73.575619086058595</v>
      </c>
      <c r="BB373">
        <f t="shared" si="347"/>
        <v>1.5572044494455684</v>
      </c>
      <c r="BC373" s="41" t="str">
        <f t="shared" si="348"/>
        <v>-1,00070816085527+1,63356186698314i</v>
      </c>
      <c r="BD373">
        <f t="shared" si="349"/>
        <v>5.6465910559925696</v>
      </c>
      <c r="BE373" s="43">
        <f t="shared" si="350"/>
        <v>121.49133374006674</v>
      </c>
      <c r="BF373" s="41" t="str">
        <f t="shared" si="351"/>
        <v>0,272430484464864+0,41102934136245i</v>
      </c>
      <c r="BG373" s="20">
        <f t="shared" si="352"/>
        <v>-6.1410163502714576</v>
      </c>
      <c r="BH373" s="43">
        <f t="shared" si="353"/>
        <v>56.463559753034382</v>
      </c>
      <c r="BI373" s="41" t="str">
        <f t="shared" si="357"/>
        <v>0,013393712363729+1,21541545639148i</v>
      </c>
      <c r="BJ373" s="20">
        <f t="shared" si="354"/>
        <v>1.6950224629172808</v>
      </c>
      <c r="BK373" s="43">
        <f t="shared" si="358"/>
        <v>89.368633889862053</v>
      </c>
      <c r="BL373">
        <f t="shared" si="355"/>
        <v>-6.1410163502714576</v>
      </c>
      <c r="BM373" s="43">
        <f t="shared" si="356"/>
        <v>56.463559753034382</v>
      </c>
    </row>
    <row r="374" spans="14:65" x14ac:dyDescent="0.25">
      <c r="N374" s="9">
        <v>56</v>
      </c>
      <c r="O374" s="34">
        <f t="shared" si="308"/>
        <v>36307.805477010232</v>
      </c>
      <c r="P374" s="33" t="str">
        <f t="shared" si="309"/>
        <v>54,631621870174</v>
      </c>
      <c r="Q374" s="4" t="str">
        <f t="shared" si="310"/>
        <v>1+1018,34360562894i</v>
      </c>
      <c r="R374" s="4">
        <f t="shared" si="322"/>
        <v>1018.3440966222322</v>
      </c>
      <c r="S374" s="4">
        <f t="shared" si="323"/>
        <v>1.5698143402895168</v>
      </c>
      <c r="T374" s="4" t="str">
        <f t="shared" si="311"/>
        <v>1+3,44930548902537i</v>
      </c>
      <c r="U374" s="4">
        <f t="shared" si="324"/>
        <v>3.5913379619050816</v>
      </c>
      <c r="V374" s="4">
        <f t="shared" si="325"/>
        <v>1.2886187570259617</v>
      </c>
      <c r="W374" t="str">
        <f t="shared" si="312"/>
        <v>1-0,90780127736549i</v>
      </c>
      <c r="X374" s="4">
        <f t="shared" si="326"/>
        <v>1.350593632143442</v>
      </c>
      <c r="Y374" s="4">
        <f t="shared" si="327"/>
        <v>-0.73710851875210404</v>
      </c>
      <c r="Z374" t="str">
        <f t="shared" si="313"/>
        <v>0,994726973045774+0,124724553174593i</v>
      </c>
      <c r="AA374" s="4">
        <f t="shared" si="328"/>
        <v>1.00251581786494</v>
      </c>
      <c r="AB374" s="4">
        <f t="shared" si="329"/>
        <v>0.12473475784830099</v>
      </c>
      <c r="AC374" s="47" t="str">
        <f t="shared" si="330"/>
        <v>0,107674006901747-0,236174031044782i</v>
      </c>
      <c r="AD374" s="20">
        <f t="shared" si="331"/>
        <v>-11.715214321830658</v>
      </c>
      <c r="AE374" s="43">
        <f t="shared" si="332"/>
        <v>-65.491302489650451</v>
      </c>
      <c r="AF374" t="str">
        <f t="shared" si="314"/>
        <v>171,265703090588</v>
      </c>
      <c r="AG374" t="str">
        <f t="shared" si="315"/>
        <v>1+1008,5980395668i</v>
      </c>
      <c r="AH374">
        <f t="shared" si="333"/>
        <v>1008.5985353043064</v>
      </c>
      <c r="AI374">
        <f t="shared" si="334"/>
        <v>1.5698048518632626</v>
      </c>
      <c r="AJ374" t="str">
        <f t="shared" si="316"/>
        <v>1+3,44930548902537i</v>
      </c>
      <c r="AK374">
        <f t="shared" si="335"/>
        <v>3.5913379619050816</v>
      </c>
      <c r="AL374">
        <f t="shared" si="336"/>
        <v>1.2886187570259617</v>
      </c>
      <c r="AM374" t="str">
        <f t="shared" si="317"/>
        <v>1-0,286805783755896i</v>
      </c>
      <c r="AN374">
        <f t="shared" si="337"/>
        <v>1.0403160854258833</v>
      </c>
      <c r="AO374">
        <f t="shared" si="338"/>
        <v>-0.2793084886276978</v>
      </c>
      <c r="AP374" s="41" t="str">
        <f t="shared" si="339"/>
        <v>0,537344881457208-0,337258462240135i</v>
      </c>
      <c r="AQ374">
        <f t="shared" si="340"/>
        <v>-3.9525268301666676</v>
      </c>
      <c r="AR374" s="43">
        <f t="shared" si="341"/>
        <v>-32.113974072487451</v>
      </c>
      <c r="AS374" t="str">
        <f t="shared" si="318"/>
        <v>-0,0000166666666666667</v>
      </c>
      <c r="AT374" t="str">
        <f t="shared" si="319"/>
        <v>0,000349721250970628i</v>
      </c>
      <c r="AU374">
        <f t="shared" si="342"/>
        <v>3.4972125097062801E-4</v>
      </c>
      <c r="AV374">
        <f t="shared" si="343"/>
        <v>1.5707963267948966</v>
      </c>
      <c r="AW374" t="str">
        <f t="shared" si="320"/>
        <v>1+1,62056178428567i</v>
      </c>
      <c r="AX374">
        <f t="shared" si="344"/>
        <v>1.904263767624421</v>
      </c>
      <c r="AY374">
        <f t="shared" si="345"/>
        <v>1.0179198443626036</v>
      </c>
      <c r="AZ374" t="str">
        <f t="shared" si="321"/>
        <v>1+75,2824610699981i</v>
      </c>
      <c r="BA374">
        <f t="shared" si="346"/>
        <v>75.289102430270617</v>
      </c>
      <c r="BB374">
        <f t="shared" si="347"/>
        <v>1.5575138015346488</v>
      </c>
      <c r="BC374" s="41" t="str">
        <f t="shared" si="348"/>
        <v>-0,968089323312222+1,61650556402037i</v>
      </c>
      <c r="BD374">
        <f t="shared" si="349"/>
        <v>5.5026348378473298</v>
      </c>
      <c r="BE374" s="43">
        <f t="shared" si="350"/>
        <v>120.91645639672112</v>
      </c>
      <c r="BF374" s="41" t="str">
        <f t="shared" si="351"/>
        <v>0,277538578781182+0,402693189155104i</v>
      </c>
      <c r="BG374" s="20">
        <f t="shared" si="352"/>
        <v>-6.212579483983335</v>
      </c>
      <c r="BH374" s="43">
        <f t="shared" si="353"/>
        <v>55.425153907070644</v>
      </c>
      <c r="BI374" s="41" t="str">
        <f t="shared" si="357"/>
        <v>0,0249823380489375+1,19511730716482i</v>
      </c>
      <c r="BJ374" s="20">
        <f t="shared" si="354"/>
        <v>1.5501080076806915</v>
      </c>
      <c r="BK374" s="43">
        <f t="shared" si="358"/>
        <v>88.802482324233679</v>
      </c>
      <c r="BL374">
        <f t="shared" si="355"/>
        <v>-6.212579483983335</v>
      </c>
      <c r="BM374" s="43">
        <f t="shared" si="356"/>
        <v>55.425153907070644</v>
      </c>
    </row>
    <row r="375" spans="14:65" x14ac:dyDescent="0.25">
      <c r="N375" s="9">
        <v>57</v>
      </c>
      <c r="O375" s="34">
        <f t="shared" si="308"/>
        <v>37153.522909717351</v>
      </c>
      <c r="P375" s="33" t="str">
        <f t="shared" si="309"/>
        <v>54,631621870174</v>
      </c>
      <c r="Q375" s="4" t="str">
        <f t="shared" si="310"/>
        <v>1+1042,06387537401i</v>
      </c>
      <c r="R375" s="4">
        <f t="shared" si="322"/>
        <v>1042.0643551909354</v>
      </c>
      <c r="S375" s="4">
        <f t="shared" si="323"/>
        <v>1.5698366930174803</v>
      </c>
      <c r="T375" s="4" t="str">
        <f t="shared" si="311"/>
        <v>1+3,5296501351552i</v>
      </c>
      <c r="U375" s="4">
        <f t="shared" si="324"/>
        <v>3.6685733026070393</v>
      </c>
      <c r="V375" s="4">
        <f t="shared" si="325"/>
        <v>1.2947170201156375</v>
      </c>
      <c r="W375" t="str">
        <f t="shared" si="312"/>
        <v>1-0,928946685511623i</v>
      </c>
      <c r="X375" s="4">
        <f t="shared" si="326"/>
        <v>1.3648963127369895</v>
      </c>
      <c r="Y375" s="4">
        <f t="shared" si="327"/>
        <v>-0.74857951765920272</v>
      </c>
      <c r="Z375" t="str">
        <f t="shared" si="313"/>
        <v>0,994478462941588+0,127629761228909i</v>
      </c>
      <c r="AA375" s="4">
        <f t="shared" si="328"/>
        <v>1.0026349132191696</v>
      </c>
      <c r="AB375" s="4">
        <f t="shared" si="329"/>
        <v>0.12764065930466448</v>
      </c>
      <c r="AC375" s="47" t="str">
        <f t="shared" si="330"/>
        <v>0,10663007853492-0,239123363092075i</v>
      </c>
      <c r="AD375" s="20">
        <f t="shared" si="331"/>
        <v>-11.639928169424913</v>
      </c>
      <c r="AE375" s="43">
        <f t="shared" si="332"/>
        <v>-65.966914182531042</v>
      </c>
      <c r="AF375" t="str">
        <f t="shared" si="314"/>
        <v>171,265703090588</v>
      </c>
      <c r="AG375" t="str">
        <f t="shared" si="315"/>
        <v>1+1032,09130591681i</v>
      </c>
      <c r="AH375">
        <f t="shared" si="333"/>
        <v>1032.0917903699585</v>
      </c>
      <c r="AI375">
        <f t="shared" si="334"/>
        <v>1.5698274205737699</v>
      </c>
      <c r="AJ375" t="str">
        <f t="shared" si="316"/>
        <v>1+3,5296501351552i</v>
      </c>
      <c r="AK375">
        <f t="shared" si="335"/>
        <v>3.6685733026070393</v>
      </c>
      <c r="AL375">
        <f t="shared" si="336"/>
        <v>1.2947170201156375</v>
      </c>
      <c r="AM375" t="str">
        <f t="shared" si="317"/>
        <v>1-0,293486348662998i</v>
      </c>
      <c r="AN375">
        <f t="shared" si="337"/>
        <v>1.0421776416962412</v>
      </c>
      <c r="AO375">
        <f t="shared" si="338"/>
        <v>-0.28547030668619616</v>
      </c>
      <c r="AP375" s="41" t="str">
        <f t="shared" si="339"/>
        <v>0,537337327872968-0,337318232373648i</v>
      </c>
      <c r="AQ375">
        <f t="shared" si="340"/>
        <v>-3.9521793738095381</v>
      </c>
      <c r="AR375" s="43">
        <f t="shared" si="341"/>
        <v>-32.11890859582924</v>
      </c>
      <c r="AS375" t="str">
        <f t="shared" si="318"/>
        <v>-0,0000166666666666667</v>
      </c>
      <c r="AT375" t="str">
        <f t="shared" si="319"/>
        <v>0,000357867305369902i</v>
      </c>
      <c r="AU375">
        <f t="shared" si="342"/>
        <v>3.5786730536990199E-4</v>
      </c>
      <c r="AV375">
        <f t="shared" si="343"/>
        <v>1.5707963267948966</v>
      </c>
      <c r="AW375" t="str">
        <f t="shared" si="320"/>
        <v>1+1,65830951741752i</v>
      </c>
      <c r="AX375">
        <f t="shared" si="344"/>
        <v>1.936489208737691</v>
      </c>
      <c r="AY375">
        <f t="shared" si="345"/>
        <v>1.0281564571415527</v>
      </c>
      <c r="AZ375" t="str">
        <f t="shared" si="321"/>
        <v>1+77,0360148545777i</v>
      </c>
      <c r="BA375">
        <f t="shared" si="346"/>
        <v>77.042505051917388</v>
      </c>
      <c r="BB375">
        <f t="shared" si="347"/>
        <v>1.5578161143671743</v>
      </c>
      <c r="BC375" s="41" t="str">
        <f t="shared" si="348"/>
        <v>-0,936137141793569+1,59897732890333i</v>
      </c>
      <c r="BD375">
        <f t="shared" si="349"/>
        <v>5.3568408147094848</v>
      </c>
      <c r="BE375" s="43">
        <f t="shared" si="350"/>
        <v>120.34726293737393</v>
      </c>
      <c r="BF375" s="41" t="str">
        <f t="shared" si="351"/>
        <v>0,282532459446443+0,3943513398176i</v>
      </c>
      <c r="BG375" s="20">
        <f t="shared" si="352"/>
        <v>-6.2830873547154251</v>
      </c>
      <c r="BH375" s="43">
        <f t="shared" si="353"/>
        <v>54.380348754842963</v>
      </c>
      <c r="BI375" s="41" t="str">
        <f t="shared" si="357"/>
        <v>0,0363427758972144+1,1749663311715i</v>
      </c>
      <c r="BJ375" s="20">
        <f t="shared" si="354"/>
        <v>1.4046614408999694</v>
      </c>
      <c r="BK375" s="43">
        <f t="shared" si="358"/>
        <v>88.228354341544701</v>
      </c>
      <c r="BL375">
        <f t="shared" si="355"/>
        <v>-6.2830873547154251</v>
      </c>
      <c r="BM375" s="43">
        <f t="shared" si="356"/>
        <v>54.380348754842963</v>
      </c>
    </row>
    <row r="376" spans="14:65" x14ac:dyDescent="0.25">
      <c r="N376" s="9">
        <v>58</v>
      </c>
      <c r="O376" s="34">
        <f t="shared" si="308"/>
        <v>38018.939632056143</v>
      </c>
      <c r="P376" s="33" t="str">
        <f t="shared" si="309"/>
        <v>54,631621870174</v>
      </c>
      <c r="Q376" s="4" t="str">
        <f t="shared" si="310"/>
        <v>1+1066,33666117915i</v>
      </c>
      <c r="R376" s="4">
        <f t="shared" si="322"/>
        <v>1066.3371300741139</v>
      </c>
      <c r="S376" s="4">
        <f t="shared" si="323"/>
        <v>1.5698585369361626</v>
      </c>
      <c r="T376" s="4" t="str">
        <f t="shared" si="311"/>
        <v>1+3,61186624850713i</v>
      </c>
      <c r="U376" s="4">
        <f t="shared" si="324"/>
        <v>3.7477430270904337</v>
      </c>
      <c r="V376" s="4">
        <f t="shared" si="325"/>
        <v>1.3006969008813254</v>
      </c>
      <c r="W376" t="str">
        <f t="shared" si="312"/>
        <v>1-0,950584633486476i</v>
      </c>
      <c r="X376" s="4">
        <f t="shared" si="326"/>
        <v>1.3797141535189881</v>
      </c>
      <c r="Y376" s="4">
        <f t="shared" si="327"/>
        <v>-0.76006996267830118</v>
      </c>
      <c r="Z376" t="str">
        <f t="shared" si="313"/>
        <v>0,994218240917016+0,130602640272009i</v>
      </c>
      <c r="AA376" s="4">
        <f t="shared" si="328"/>
        <v>1.0027596722137093</v>
      </c>
      <c r="AB376" s="4">
        <f t="shared" si="329"/>
        <v>0.13061427690994407</v>
      </c>
      <c r="AC376" s="47" t="str">
        <f t="shared" si="330"/>
        <v>0,105537685637878-0,242191302124951i</v>
      </c>
      <c r="AD376" s="20">
        <f t="shared" si="331"/>
        <v>-11.561767467556752</v>
      </c>
      <c r="AE376" s="43">
        <f t="shared" si="332"/>
        <v>-66.45427356000404</v>
      </c>
      <c r="AF376" t="str">
        <f t="shared" si="314"/>
        <v>171,265703090588</v>
      </c>
      <c r="AG376" t="str">
        <f t="shared" si="315"/>
        <v>1+1056,13180073856i</v>
      </c>
      <c r="AH376">
        <f t="shared" si="333"/>
        <v>1056.1322741642134</v>
      </c>
      <c r="AI376">
        <f t="shared" si="334"/>
        <v>1.5698494755586605</v>
      </c>
      <c r="AJ376" t="str">
        <f t="shared" si="316"/>
        <v>1+3,61186624850713i</v>
      </c>
      <c r="AK376">
        <f t="shared" si="335"/>
        <v>3.7477430270904337</v>
      </c>
      <c r="AL376">
        <f t="shared" si="336"/>
        <v>1.3006969008813254</v>
      </c>
      <c r="AM376" t="str">
        <f t="shared" si="317"/>
        <v>1-0,300322523916911i</v>
      </c>
      <c r="AN376">
        <f t="shared" si="337"/>
        <v>1.0441233731565553</v>
      </c>
      <c r="AO376">
        <f t="shared" si="338"/>
        <v>-0.2917526617074292</v>
      </c>
      <c r="AP376" s="41" t="str">
        <f t="shared" si="339"/>
        <v>0,537330114255396-0,337556852439932i</v>
      </c>
      <c r="AQ376">
        <f t="shared" si="340"/>
        <v>-3.9505258004438386</v>
      </c>
      <c r="AR376" s="43">
        <f t="shared" si="341"/>
        <v>-32.137502751634855</v>
      </c>
      <c r="AS376" t="str">
        <f t="shared" si="318"/>
        <v>-0,0000166666666666667</v>
      </c>
      <c r="AT376" t="str">
        <f t="shared" si="319"/>
        <v>0,000366203105751417i</v>
      </c>
      <c r="AU376">
        <f t="shared" si="342"/>
        <v>3.6620310575141701E-4</v>
      </c>
      <c r="AV376">
        <f t="shared" si="343"/>
        <v>1.5707963267948966</v>
      </c>
      <c r="AW376" t="str">
        <f t="shared" si="320"/>
        <v>1+1,69693650820583i</v>
      </c>
      <c r="AX376">
        <f t="shared" si="344"/>
        <v>1.9696683763724783</v>
      </c>
      <c r="AY376">
        <f t="shared" si="345"/>
        <v>1.0382836739158798</v>
      </c>
      <c r="AZ376" t="str">
        <f t="shared" si="321"/>
        <v>1+78,8304141539254i</v>
      </c>
      <c r="BA376">
        <f t="shared" si="346"/>
        <v>78.836756628360874</v>
      </c>
      <c r="BB376">
        <f t="shared" si="347"/>
        <v>1.5581115480122485</v>
      </c>
      <c r="BC376" s="41" t="str">
        <f t="shared" si="348"/>
        <v>-0,904864217130612+1,58100920944578i</v>
      </c>
      <c r="BD376">
        <f t="shared" si="349"/>
        <v>5.2092472623453876</v>
      </c>
      <c r="BE376" s="43">
        <f t="shared" si="350"/>
        <v>119.78394325897992</v>
      </c>
      <c r="BF376" s="41" t="str">
        <f t="shared" si="351"/>
        <v>0,287409403814718+0,386006295930216i</v>
      </c>
      <c r="BG376" s="20">
        <f t="shared" si="352"/>
        <v>-6.3525202052113583</v>
      </c>
      <c r="BH376" s="43">
        <f t="shared" si="353"/>
        <v>53.329669698975842</v>
      </c>
      <c r="BI376" s="41" t="str">
        <f t="shared" si="357"/>
        <v>0,0474696992426514+1,15496697617047i</v>
      </c>
      <c r="BJ376" s="20">
        <f t="shared" si="354"/>
        <v>1.2587214619015741</v>
      </c>
      <c r="BK376" s="43">
        <f t="shared" si="358"/>
        <v>87.646440507345076</v>
      </c>
      <c r="BL376">
        <f t="shared" si="355"/>
        <v>-6.3525202052113583</v>
      </c>
      <c r="BM376" s="43">
        <f t="shared" si="356"/>
        <v>53.329669698975842</v>
      </c>
    </row>
    <row r="377" spans="14:65" x14ac:dyDescent="0.25">
      <c r="N377" s="9">
        <v>59</v>
      </c>
      <c r="O377" s="34">
        <f t="shared" si="308"/>
        <v>38904.514499428085</v>
      </c>
      <c r="P377" s="33" t="str">
        <f t="shared" si="309"/>
        <v>54,631621870174</v>
      </c>
      <c r="Q377" s="4" t="str">
        <f t="shared" si="310"/>
        <v>1+1091,17483279668i</v>
      </c>
      <c r="R377" s="4">
        <f t="shared" si="322"/>
        <v>1091.1752910182959</v>
      </c>
      <c r="S377" s="4">
        <f t="shared" si="323"/>
        <v>1.5698798836274155</v>
      </c>
      <c r="T377" s="4" t="str">
        <f t="shared" si="311"/>
        <v>1+3,69599742115272i</v>
      </c>
      <c r="U377" s="4">
        <f t="shared" si="324"/>
        <v>3.8288897786652929</v>
      </c>
      <c r="V377" s="4">
        <f t="shared" si="325"/>
        <v>1.3065598585830545</v>
      </c>
      <c r="W377" t="str">
        <f t="shared" si="312"/>
        <v>1-0,972726594016481i</v>
      </c>
      <c r="X377" s="4">
        <f t="shared" si="326"/>
        <v>1.3950616569553131</v>
      </c>
      <c r="Y377" s="4">
        <f t="shared" si="327"/>
        <v>-0.77157381053862273</v>
      </c>
      <c r="Z377" t="str">
        <f t="shared" si="313"/>
        <v>0,993945755006255+0,133644766563711i</v>
      </c>
      <c r="AA377" s="4">
        <f t="shared" si="328"/>
        <v>1.002890366652718</v>
      </c>
      <c r="AB377" s="4">
        <f t="shared" si="329"/>
        <v>0.13365718961542117</v>
      </c>
      <c r="AC377" s="47" t="str">
        <f t="shared" si="330"/>
        <v>0,104394584205779-0,245378892790954i</v>
      </c>
      <c r="AD377" s="20">
        <f t="shared" si="331"/>
        <v>-11.480752440823389</v>
      </c>
      <c r="AE377" s="43">
        <f t="shared" si="332"/>
        <v>-66.953041889554143</v>
      </c>
      <c r="AF377" t="str">
        <f t="shared" si="314"/>
        <v>171,265703090588</v>
      </c>
      <c r="AG377" t="str">
        <f t="shared" si="315"/>
        <v>1+1080,73227062063i</v>
      </c>
      <c r="AH377">
        <f t="shared" si="333"/>
        <v>1080.7327332698048</v>
      </c>
      <c r="AI377">
        <f t="shared" si="334"/>
        <v>1.5698710285116932</v>
      </c>
      <c r="AJ377" t="str">
        <f t="shared" si="316"/>
        <v>1+3,69599742115272i</v>
      </c>
      <c r="AK377">
        <f t="shared" si="335"/>
        <v>3.8288897786652929</v>
      </c>
      <c r="AL377">
        <f t="shared" si="336"/>
        <v>1.3065598585830545</v>
      </c>
      <c r="AM377" t="str">
        <f t="shared" si="317"/>
        <v>1-0,307317934148245i</v>
      </c>
      <c r="AN377">
        <f t="shared" si="337"/>
        <v>1.046156925441468</v>
      </c>
      <c r="AO377">
        <f t="shared" si="338"/>
        <v>-0.29815690031619407</v>
      </c>
      <c r="AP377" s="41" t="str">
        <f t="shared" si="339"/>
        <v>0,537323225303523-0,337974449002485i</v>
      </c>
      <c r="AQ377">
        <f t="shared" si="340"/>
        <v>-3.9475640965930032</v>
      </c>
      <c r="AR377" s="43">
        <f t="shared" si="341"/>
        <v>-32.169750756383728</v>
      </c>
      <c r="AS377" t="str">
        <f t="shared" si="318"/>
        <v>-0,0000166666666666667</v>
      </c>
      <c r="AT377" t="str">
        <f t="shared" si="319"/>
        <v>0,000374733071866873i</v>
      </c>
      <c r="AU377">
        <f t="shared" si="342"/>
        <v>3.74733071866873E-4</v>
      </c>
      <c r="AV377">
        <f t="shared" si="343"/>
        <v>1.5707963267948966</v>
      </c>
      <c r="AW377" t="str">
        <f t="shared" si="320"/>
        <v>1+1,7364632371924i</v>
      </c>
      <c r="AX377">
        <f t="shared" si="344"/>
        <v>2.0038224906714439</v>
      </c>
      <c r="AY377">
        <f t="shared" si="345"/>
        <v>1.0482985545378438</v>
      </c>
      <c r="AZ377" t="str">
        <f t="shared" si="321"/>
        <v>1+80,6666103823015i</v>
      </c>
      <c r="BA377">
        <f t="shared" si="346"/>
        <v>80.672808495614134</v>
      </c>
      <c r="BB377">
        <f t="shared" si="347"/>
        <v>1.5584002589062969</v>
      </c>
      <c r="BC377" s="41" t="str">
        <f t="shared" si="348"/>
        <v>-0,874281211304509+1,56263328530441i</v>
      </c>
      <c r="BD377">
        <f t="shared" si="349"/>
        <v>5.0598931222858141</v>
      </c>
      <c r="BE377" s="43">
        <f t="shared" si="350"/>
        <v>119.22667478274239</v>
      </c>
      <c r="BF377" s="41" t="str">
        <f t="shared" si="351"/>
        <v>0,292167001853228+0,377660607703299i</v>
      </c>
      <c r="BG377" s="20">
        <f t="shared" si="352"/>
        <v>-6.4208593185375706</v>
      </c>
      <c r="BH377" s="43">
        <f t="shared" si="353"/>
        <v>52.273632893188278</v>
      </c>
      <c r="BI377" s="41" t="str">
        <f t="shared" si="357"/>
        <v>0,0583585233132912+1,13512386749027i</v>
      </c>
      <c r="BJ377" s="20">
        <f t="shared" si="354"/>
        <v>1.1123290256927916</v>
      </c>
      <c r="BK377" s="43">
        <f t="shared" si="358"/>
        <v>87.056924026358672</v>
      </c>
      <c r="BL377">
        <f t="shared" si="355"/>
        <v>-6.4208593185375706</v>
      </c>
      <c r="BM377" s="43">
        <f t="shared" si="356"/>
        <v>52.273632893188278</v>
      </c>
    </row>
    <row r="378" spans="14:65" x14ac:dyDescent="0.25">
      <c r="N378" s="9">
        <v>60</v>
      </c>
      <c r="O378" s="34">
        <f t="shared" si="308"/>
        <v>39810.717055349742</v>
      </c>
      <c r="P378" s="33" t="str">
        <f t="shared" si="309"/>
        <v>54,631621870174</v>
      </c>
      <c r="Q378" s="4" t="str">
        <f t="shared" si="310"/>
        <v>1+1116,59155975396i</v>
      </c>
      <c r="R378" s="4">
        <f t="shared" si="322"/>
        <v>1116.5920075451827</v>
      </c>
      <c r="S378" s="4">
        <f t="shared" si="323"/>
        <v>1.5699007444094588</v>
      </c>
      <c r="T378" s="4" t="str">
        <f t="shared" si="311"/>
        <v>1+3,78208826055331i</v>
      </c>
      <c r="U378" s="4">
        <f t="shared" si="324"/>
        <v>3.9120572095273816</v>
      </c>
      <c r="V378" s="4">
        <f t="shared" si="325"/>
        <v>1.3123073889103873</v>
      </c>
      <c r="W378" t="str">
        <f t="shared" si="312"/>
        <v>1-0,995384307062189i</v>
      </c>
      <c r="X378" s="4">
        <f t="shared" si="326"/>
        <v>1.4109535494642176</v>
      </c>
      <c r="Y378" s="4">
        <f t="shared" si="327"/>
        <v>-0.7830849825786389</v>
      </c>
      <c r="Z378" t="str">
        <f t="shared" si="313"/>
        <v>0,993660427230156+0,136757753079642i</v>
      </c>
      <c r="AA378" s="4">
        <f t="shared" si="328"/>
        <v>1.0030272816183061</v>
      </c>
      <c r="AB378" s="4">
        <f t="shared" si="329"/>
        <v>0.13677101321540214</v>
      </c>
      <c r="AC378" s="47" t="str">
        <f t="shared" si="330"/>
        <v>0,103198429736362-0,248687201915041i</v>
      </c>
      <c r="AD378" s="20">
        <f t="shared" si="331"/>
        <v>-11.396905062686384</v>
      </c>
      <c r="AE378" s="43">
        <f t="shared" si="332"/>
        <v>-67.462878419512052</v>
      </c>
      <c r="AF378" t="str">
        <f t="shared" si="314"/>
        <v>171,265703090588</v>
      </c>
      <c r="AG378" t="str">
        <f t="shared" si="315"/>
        <v>1+1105,90575905775i</v>
      </c>
      <c r="AH378">
        <f t="shared" si="333"/>
        <v>1105.906211175748</v>
      </c>
      <c r="AI378">
        <f t="shared" si="334"/>
        <v>1.5698920908604492</v>
      </c>
      <c r="AJ378" t="str">
        <f t="shared" si="316"/>
        <v>1+3,78208826055331i</v>
      </c>
      <c r="AK378">
        <f t="shared" si="335"/>
        <v>3.9120572095273816</v>
      </c>
      <c r="AL378">
        <f t="shared" si="336"/>
        <v>1.3123073889103873</v>
      </c>
      <c r="AM378" t="str">
        <f t="shared" si="317"/>
        <v>1-0,314476288416096i</v>
      </c>
      <c r="AN378">
        <f t="shared" si="337"/>
        <v>1.0482820879782138</v>
      </c>
      <c r="AO378">
        <f t="shared" si="338"/>
        <v>-0.30468431602709772</v>
      </c>
      <c r="AP378" s="41" t="str">
        <f t="shared" si="339"/>
        <v>0,537316646405047-0,338571243517588i</v>
      </c>
      <c r="AQ378">
        <f t="shared" si="340"/>
        <v>-3.9432906627634323</v>
      </c>
      <c r="AR378" s="43">
        <f t="shared" si="341"/>
        <v>-32.215641681056596</v>
      </c>
      <c r="AS378" t="str">
        <f t="shared" si="318"/>
        <v>-0,0000166666666666667</v>
      </c>
      <c r="AT378" t="str">
        <f t="shared" si="319"/>
        <v>0,000383461726417211i</v>
      </c>
      <c r="AU378">
        <f t="shared" si="342"/>
        <v>3.8346172641721098E-4</v>
      </c>
      <c r="AV378">
        <f t="shared" si="343"/>
        <v>1.5707963267948966</v>
      </c>
      <c r="AW378" t="str">
        <f t="shared" si="320"/>
        <v>1+1,77691066197213i</v>
      </c>
      <c r="AX378">
        <f t="shared" si="344"/>
        <v>2.0389731485799985</v>
      </c>
      <c r="AY378">
        <f t="shared" si="345"/>
        <v>1.0581983726777751</v>
      </c>
      <c r="AZ378" t="str">
        <f t="shared" si="321"/>
        <v>1+82,5455771152508i</v>
      </c>
      <c r="BA378">
        <f t="shared" si="346"/>
        <v>82.551634152752044</v>
      </c>
      <c r="BB378">
        <f t="shared" si="347"/>
        <v>1.5586823999350241</v>
      </c>
      <c r="BC378" s="41" t="str">
        <f t="shared" si="348"/>
        <v>-0,84439689125953+1,54388154221807i</v>
      </c>
      <c r="BD378">
        <f t="shared" si="349"/>
        <v>4.9088178924239587</v>
      </c>
      <c r="BE378" s="43">
        <f t="shared" si="350"/>
        <v>118.67562247555088</v>
      </c>
      <c r="BF378" s="41" t="str">
        <f t="shared" si="351"/>
        <v>0,296803147570241+0,369316851048949i</v>
      </c>
      <c r="BG378" s="20">
        <f t="shared" si="352"/>
        <v>-6.488087170262431</v>
      </c>
      <c r="BH378" s="43">
        <f t="shared" si="353"/>
        <v>51.212744056038787</v>
      </c>
      <c r="BI378" s="41" t="str">
        <f t="shared" si="357"/>
        <v>0,0690053877462058+1,11544175820739i</v>
      </c>
      <c r="BJ378" s="20">
        <f t="shared" si="354"/>
        <v>0.96552722966052762</v>
      </c>
      <c r="BK378" s="43">
        <f t="shared" si="358"/>
        <v>86.459980794494271</v>
      </c>
      <c r="BL378">
        <f t="shared" si="355"/>
        <v>-6.488087170262431</v>
      </c>
      <c r="BM378" s="43">
        <f t="shared" si="356"/>
        <v>51.212744056038787</v>
      </c>
    </row>
    <row r="379" spans="14:65" x14ac:dyDescent="0.25">
      <c r="N379" s="9">
        <v>61</v>
      </c>
      <c r="O379" s="34">
        <f t="shared" si="308"/>
        <v>40738.027780411358</v>
      </c>
      <c r="P379" s="33" t="str">
        <f t="shared" si="309"/>
        <v>54,631621870174</v>
      </c>
      <c r="Q379" s="4" t="str">
        <f t="shared" si="310"/>
        <v>1+1142,60031833607i</v>
      </c>
      <c r="R379" s="4">
        <f t="shared" si="322"/>
        <v>1142.6007559343238</v>
      </c>
      <c r="S379" s="4">
        <f t="shared" si="323"/>
        <v>1.5699211303428833</v>
      </c>
      <c r="T379" s="4" t="str">
        <f t="shared" si="311"/>
        <v>1+3,87018441321151i</v>
      </c>
      <c r="U379" s="4">
        <f t="shared" si="324"/>
        <v>3.9972900060247469</v>
      </c>
      <c r="V379" s="4">
        <f t="shared" si="325"/>
        <v>1.3179410197422747</v>
      </c>
      <c r="W379" t="str">
        <f t="shared" si="312"/>
        <v>1-1,01856978604297i</v>
      </c>
      <c r="X379" s="4">
        <f t="shared" si="326"/>
        <v>1.4274047810763497</v>
      </c>
      <c r="Y379" s="4">
        <f t="shared" si="327"/>
        <v>-0.79459738075519337</v>
      </c>
      <c r="Z379" t="str">
        <f t="shared" si="313"/>
        <v>0,99336165237025+0,13994325036646i</v>
      </c>
      <c r="AA379" s="4">
        <f t="shared" si="328"/>
        <v>1.0031707161410179</v>
      </c>
      <c r="AB379" s="4">
        <f t="shared" si="329"/>
        <v>0.13995740120364694</v>
      </c>
      <c r="AC379" s="47" t="str">
        <f t="shared" si="330"/>
        <v>0,10194677293948-0,252117316159431i</v>
      </c>
      <c r="AD379" s="20">
        <f t="shared" si="331"/>
        <v>-11.310249089671039</v>
      </c>
      <c r="AE379" s="43">
        <f t="shared" si="332"/>
        <v>-67.983441588664974</v>
      </c>
      <c r="AF379" t="str">
        <f t="shared" si="314"/>
        <v>171,265703090588</v>
      </c>
      <c r="AG379" t="str">
        <f t="shared" si="315"/>
        <v>1+1131,66561336673i</v>
      </c>
      <c r="AH379">
        <f t="shared" si="333"/>
        <v>1131.66605519327</v>
      </c>
      <c r="AI379">
        <f t="shared" si="334"/>
        <v>1.5699126737723894</v>
      </c>
      <c r="AJ379" t="str">
        <f t="shared" si="316"/>
        <v>1+3,87018441321151i</v>
      </c>
      <c r="AK379">
        <f t="shared" si="335"/>
        <v>3.9972900060247469</v>
      </c>
      <c r="AL379">
        <f t="shared" si="336"/>
        <v>1.3179410197422747</v>
      </c>
      <c r="AM379" t="str">
        <f t="shared" si="317"/>
        <v>1-0,321801382174653i</v>
      </c>
      <c r="AN379">
        <f t="shared" si="337"/>
        <v>1.0505027984586794</v>
      </c>
      <c r="AO379">
        <f t="shared" si="338"/>
        <v>-0.31133614404150423</v>
      </c>
      <c r="AP379" s="41" t="str">
        <f t="shared" si="339"/>
        <v>0,537310363605298-0,339347552451894i</v>
      </c>
      <c r="AQ379">
        <f t="shared" si="340"/>
        <v>-3.937700320447143</v>
      </c>
      <c r="AR379" s="43">
        <f t="shared" si="341"/>
        <v>-32.275159396311466</v>
      </c>
      <c r="AS379" t="str">
        <f t="shared" si="318"/>
        <v>-0,0000166666666666667</v>
      </c>
      <c r="AT379" t="str">
        <f t="shared" si="319"/>
        <v>0,000392393697450612i</v>
      </c>
      <c r="AU379">
        <f t="shared" si="342"/>
        <v>3.9239369745061202E-4</v>
      </c>
      <c r="AV379">
        <f t="shared" si="343"/>
        <v>1.5707963267948966</v>
      </c>
      <c r="AW379" t="str">
        <f t="shared" si="320"/>
        <v>1+1,81830022830504i</v>
      </c>
      <c r="AX379">
        <f t="shared" si="344"/>
        <v>2.07514233734801</v>
      </c>
      <c r="AY379">
        <f t="shared" si="345"/>
        <v>1.0679806147318238</v>
      </c>
      <c r="AZ379" t="str">
        <f t="shared" si="321"/>
        <v>1+84,4683106058068i</v>
      </c>
      <c r="BA379">
        <f t="shared" si="346"/>
        <v>84.474229778075241</v>
      </c>
      <c r="BB379">
        <f t="shared" si="347"/>
        <v>1.5589581205135599</v>
      </c>
      <c r="BC379" s="41" t="str">
        <f t="shared" si="348"/>
        <v>-0,815218181083502+1,524785753313i</v>
      </c>
      <c r="BD379">
        <f t="shared" si="349"/>
        <v>4.7560615203595979</v>
      </c>
      <c r="BE379" s="43">
        <f t="shared" si="350"/>
        <v>118.13093891715337</v>
      </c>
      <c r="BF379" s="41" t="str">
        <f t="shared" si="351"/>
        <v>0,301316029040354+0,3609776068735i</v>
      </c>
      <c r="BG379" s="20">
        <f t="shared" si="352"/>
        <v>-6.5541875693114413</v>
      </c>
      <c r="BH379" s="43">
        <f t="shared" si="353"/>
        <v>50.147497328488427</v>
      </c>
      <c r="BI379" s="41" t="str">
        <f t="shared" si="357"/>
        <v>0,0794071361046579+1,09592548199776i</v>
      </c>
      <c r="BJ379" s="20">
        <f t="shared" si="354"/>
        <v>0.81836119991247358</v>
      </c>
      <c r="BK379" s="43">
        <f t="shared" si="358"/>
        <v>85.855779520841921</v>
      </c>
      <c r="BL379">
        <f t="shared" si="355"/>
        <v>-6.5541875693114413</v>
      </c>
      <c r="BM379" s="43">
        <f t="shared" si="356"/>
        <v>50.147497328488427</v>
      </c>
    </row>
    <row r="380" spans="14:65" x14ac:dyDescent="0.25">
      <c r="N380" s="9">
        <v>62</v>
      </c>
      <c r="O380" s="34">
        <f t="shared" si="308"/>
        <v>41686.938347033625</v>
      </c>
      <c r="P380" s="33" t="str">
        <f t="shared" si="309"/>
        <v>54,631621870174</v>
      </c>
      <c r="Q380" s="4" t="str">
        <f t="shared" si="310"/>
        <v>1+1169,21489873106i</v>
      </c>
      <c r="R380" s="4">
        <f t="shared" si="322"/>
        <v>1169.2153263683651</v>
      </c>
      <c r="S380" s="4">
        <f t="shared" si="323"/>
        <v>1.5699410522365125</v>
      </c>
      <c r="T380" s="4" t="str">
        <f t="shared" si="311"/>
        <v>1+3,96033258887355i</v>
      </c>
      <c r="U380" s="4">
        <f t="shared" si="324"/>
        <v>4.0846339143788493</v>
      </c>
      <c r="V380" s="4">
        <f t="shared" si="325"/>
        <v>1.3234623071175255</v>
      </c>
      <c r="W380" t="str">
        <f t="shared" si="312"/>
        <v>1-1,04229532420668i</v>
      </c>
      <c r="X380" s="4">
        <f t="shared" si="326"/>
        <v>1.4444305254539271</v>
      </c>
      <c r="Y380" s="4">
        <f t="shared" si="327"/>
        <v>-0.80610490377757194</v>
      </c>
      <c r="Z380" t="str">
        <f t="shared" si="313"/>
        <v>0,993048796685002+0,14320294741699i</v>
      </c>
      <c r="AA380" s="4">
        <f t="shared" si="328"/>
        <v>1.0033209839061694</v>
      </c>
      <c r="AB380" s="4">
        <f t="shared" si="329"/>
        <v>0.14321804564884694</v>
      </c>
      <c r="AC380" s="47" t="str">
        <f t="shared" si="330"/>
        <v>0,100637055290345-0,255670339491779i</v>
      </c>
      <c r="AD380" s="20">
        <f t="shared" si="331"/>
        <v>-11.220810086701235</v>
      </c>
      <c r="AE380" s="43">
        <f t="shared" si="332"/>
        <v>-68.51439023204388</v>
      </c>
      <c r="AF380" t="str">
        <f t="shared" si="314"/>
        <v>171,265703090588</v>
      </c>
      <c r="AG380" t="str">
        <f t="shared" si="315"/>
        <v>1+1158,02549176328i</v>
      </c>
      <c r="AH380">
        <f t="shared" si="333"/>
        <v>1158.0259235326237</v>
      </c>
      <c r="AI380">
        <f t="shared" si="334"/>
        <v>1.5699327881607763</v>
      </c>
      <c r="AJ380" t="str">
        <f t="shared" si="316"/>
        <v>1+3,96033258887355i</v>
      </c>
      <c r="AK380">
        <f t="shared" si="335"/>
        <v>4.0846339143788493</v>
      </c>
      <c r="AL380">
        <f t="shared" si="336"/>
        <v>1.3234623071175255</v>
      </c>
      <c r="AM380" t="str">
        <f t="shared" si="317"/>
        <v>1-0,329297099285584i</v>
      </c>
      <c r="AN380">
        <f t="shared" si="337"/>
        <v>1.0528231473509213</v>
      </c>
      <c r="AO380">
        <f t="shared" si="338"/>
        <v>-0.31811355583755596</v>
      </c>
      <c r="AP380" s="41" t="str">
        <f t="shared" si="339"/>
        <v>0,53730436357769-0,340303787450427i</v>
      </c>
      <c r="AQ380">
        <f t="shared" si="340"/>
        <v>-3.9307863222609507</v>
      </c>
      <c r="AR380" s="43">
        <f t="shared" si="341"/>
        <v>-32.348282493728654</v>
      </c>
      <c r="AS380" t="str">
        <f t="shared" si="318"/>
        <v>-0,0000166666666666667</v>
      </c>
      <c r="AT380" t="str">
        <f t="shared" si="319"/>
        <v>0,000401533720816346i</v>
      </c>
      <c r="AU380">
        <f t="shared" si="342"/>
        <v>4.0153372081634599E-4</v>
      </c>
      <c r="AV380">
        <f t="shared" si="343"/>
        <v>1.5707963267948966</v>
      </c>
      <c r="AW380" t="str">
        <f t="shared" si="320"/>
        <v>1+1,86065388148705i</v>
      </c>
      <c r="AX380">
        <f t="shared" si="344"/>
        <v>2.1123524485021021</v>
      </c>
      <c r="AY380">
        <f t="shared" si="345"/>
        <v>1.0776429779776002</v>
      </c>
      <c r="AZ380" t="str">
        <f t="shared" si="321"/>
        <v>1+86,4358303127164i</v>
      </c>
      <c r="BA380">
        <f t="shared" si="346"/>
        <v>86.441614757295596</v>
      </c>
      <c r="BB380">
        <f t="shared" si="347"/>
        <v>1.5592275666648221</v>
      </c>
      <c r="BC380" s="41" t="str">
        <f t="shared" si="348"/>
        <v>-0,786750221636245+1,50537736796807i</v>
      </c>
      <c r="BD380">
        <f t="shared" si="349"/>
        <v>4.6016642999386166</v>
      </c>
      <c r="BE380" s="43">
        <f t="shared" si="350"/>
        <v>117.59276441032158</v>
      </c>
      <c r="BF380" s="41" t="str">
        <f t="shared" si="351"/>
        <v>0,305704117177139+0,352645441674008i</v>
      </c>
      <c r="BG380" s="20">
        <f t="shared" si="352"/>
        <v>-6.6191457867626156</v>
      </c>
      <c r="BH380" s="43">
        <f t="shared" si="353"/>
        <v>49.078374178277748</v>
      </c>
      <c r="BI380" s="41" t="str">
        <f t="shared" si="357"/>
        <v>0,0895612927308202+1,07657990884062i</v>
      </c>
      <c r="BJ380" s="20">
        <f t="shared" si="354"/>
        <v>0.67087797767767465</v>
      </c>
      <c r="BK380" s="43">
        <f t="shared" si="358"/>
        <v>85.244481916592932</v>
      </c>
      <c r="BL380">
        <f t="shared" si="355"/>
        <v>-6.6191457867626156</v>
      </c>
      <c r="BM380" s="43">
        <f t="shared" si="356"/>
        <v>49.078374178277748</v>
      </c>
    </row>
    <row r="381" spans="14:65" x14ac:dyDescent="0.25">
      <c r="N381" s="9">
        <v>63</v>
      </c>
      <c r="O381" s="34">
        <f t="shared" si="308"/>
        <v>42657.951880159271</v>
      </c>
      <c r="P381" s="33" t="str">
        <f t="shared" si="309"/>
        <v>54,631621870174</v>
      </c>
      <c r="Q381" s="4" t="str">
        <f t="shared" si="310"/>
        <v>1+1196,44941234174i</v>
      </c>
      <c r="R381" s="4">
        <f t="shared" si="322"/>
        <v>1196.4498302448353</v>
      </c>
      <c r="S381" s="4">
        <f t="shared" si="323"/>
        <v>1.5699605206531346</v>
      </c>
      <c r="T381" s="4" t="str">
        <f t="shared" si="311"/>
        <v>1+4,0525805852954i</v>
      </c>
      <c r="U381" s="4">
        <f t="shared" si="324"/>
        <v>4.174135766875966</v>
      </c>
      <c r="V381" s="4">
        <f t="shared" si="325"/>
        <v>1.3288728314130827</v>
      </c>
      <c r="W381" t="str">
        <f t="shared" si="312"/>
        <v>1-1,0665735011477i</v>
      </c>
      <c r="X381" s="4">
        <f t="shared" si="326"/>
        <v>1.4620461803070595</v>
      </c>
      <c r="Y381" s="4">
        <f t="shared" si="327"/>
        <v>-0.81760146326253902</v>
      </c>
      <c r="Z381" t="str">
        <f t="shared" si="313"/>
        <v>0,99272119656556+0,146538572565755i</v>
      </c>
      <c r="AA381" s="4">
        <f t="shared" si="328"/>
        <v>1.0034784139981121</v>
      </c>
      <c r="AB381" s="4">
        <f t="shared" si="329"/>
        <v>0.14655467808945805</v>
      </c>
      <c r="AC381" s="47" t="str">
        <f t="shared" si="330"/>
        <v>0,0992666044234596-0,259347390446607i</v>
      </c>
      <c r="AD381" s="20">
        <f t="shared" si="331"/>
        <v>-11.12861544338142</v>
      </c>
      <c r="AE381" s="43">
        <f t="shared" si="332"/>
        <v>-69.055384777104763</v>
      </c>
      <c r="AF381" t="str">
        <f t="shared" si="314"/>
        <v>171,265703090588</v>
      </c>
      <c r="AG381" t="str">
        <f t="shared" si="315"/>
        <v>1+1184,99937060383i</v>
      </c>
      <c r="AH381">
        <f t="shared" si="333"/>
        <v>1184.9997925449072</v>
      </c>
      <c r="AI381">
        <f t="shared" si="334"/>
        <v>1.5699524446904602</v>
      </c>
      <c r="AJ381" t="str">
        <f t="shared" si="316"/>
        <v>1+4,0525805852954i</v>
      </c>
      <c r="AK381">
        <f t="shared" si="335"/>
        <v>4.174135766875966</v>
      </c>
      <c r="AL381">
        <f t="shared" si="336"/>
        <v>1.3288728314130827</v>
      </c>
      <c r="AM381" t="str">
        <f t="shared" si="317"/>
        <v>1-0,336967414077318i</v>
      </c>
      <c r="AN381">
        <f t="shared" si="337"/>
        <v>1.0552473824416504</v>
      </c>
      <c r="AO381">
        <f t="shared" si="338"/>
        <v>-0.32501765355858958</v>
      </c>
      <c r="AP381" s="41" t="str">
        <f t="shared" si="339"/>
        <v>0,537298633595419-0,34144045555501i</v>
      </c>
      <c r="AQ381">
        <f t="shared" si="340"/>
        <v>-3.9225403652754567</v>
      </c>
      <c r="AR381" s="43">
        <f t="shared" si="341"/>
        <v>-32.434984183592121</v>
      </c>
      <c r="AS381" t="str">
        <f t="shared" si="318"/>
        <v>-0,0000166666666666667</v>
      </c>
      <c r="AT381" t="str">
        <f t="shared" si="319"/>
        <v>0,000410886642675783i</v>
      </c>
      <c r="AU381">
        <f t="shared" si="342"/>
        <v>4.1088664267578299E-4</v>
      </c>
      <c r="AV381">
        <f t="shared" si="343"/>
        <v>1.5707963267948966</v>
      </c>
      <c r="AW381" t="str">
        <f t="shared" si="320"/>
        <v>1+1,90399407798568i</v>
      </c>
      <c r="AX381">
        <f t="shared" si="344"/>
        <v>2.1506262922703563</v>
      </c>
      <c r="AY381">
        <f t="shared" si="345"/>
        <v>1.0871833680285958</v>
      </c>
      <c r="AZ381" t="str">
        <f t="shared" si="321"/>
        <v>1+88,449179440971i</v>
      </c>
      <c r="BA381">
        <f t="shared" si="346"/>
        <v>88.45483222402882</v>
      </c>
      <c r="BB381">
        <f t="shared" si="347"/>
        <v>1.5594908810961399</v>
      </c>
      <c r="BC381" s="41" t="str">
        <f t="shared" si="348"/>
        <v>-0,758996436694847+1,48568740862188i</v>
      </c>
      <c r="BD381">
        <f t="shared" si="349"/>
        <v>4.4456667713861577</v>
      </c>
      <c r="BE381" s="43">
        <f t="shared" si="350"/>
        <v>117.06122713109033</v>
      </c>
      <c r="BF381" s="41" t="str">
        <f t="shared" si="351"/>
        <v>0,309966153405264+0,344322889503665i</v>
      </c>
      <c r="BG381" s="20">
        <f t="shared" si="352"/>
        <v>-6.6829486719952556</v>
      </c>
      <c r="BH381" s="43">
        <f t="shared" si="353"/>
        <v>48.005842353985564</v>
      </c>
      <c r="BI381" s="41" t="str">
        <f t="shared" si="357"/>
        <v>0,0994660372722639+1,05740990371217i</v>
      </c>
      <c r="BJ381" s="20">
        <f t="shared" si="354"/>
        <v>0.52312640611067673</v>
      </c>
      <c r="BK381" s="43">
        <f t="shared" si="358"/>
        <v>84.626242947498213</v>
      </c>
      <c r="BL381">
        <f t="shared" si="355"/>
        <v>-6.6829486719952556</v>
      </c>
      <c r="BM381" s="43">
        <f t="shared" si="356"/>
        <v>48.005842353985564</v>
      </c>
    </row>
    <row r="382" spans="14:65" x14ac:dyDescent="0.25">
      <c r="N382" s="9">
        <v>64</v>
      </c>
      <c r="O382" s="34">
        <f t="shared" si="308"/>
        <v>43651.583224016598</v>
      </c>
      <c r="P382" s="33" t="str">
        <f t="shared" si="309"/>
        <v>54,631621870174</v>
      </c>
      <c r="Q382" s="4" t="str">
        <f t="shared" si="310"/>
        <v>1+1224,31829926773i</v>
      </c>
      <c r="R382" s="4">
        <f t="shared" si="322"/>
        <v>1224.3187076581924</v>
      </c>
      <c r="S382" s="4">
        <f t="shared" si="323"/>
        <v>1.5699795459151034</v>
      </c>
      <c r="T382" s="4" t="str">
        <f t="shared" si="311"/>
        <v>1+4,14697731358581i</v>
      </c>
      <c r="U382" s="4">
        <f t="shared" si="324"/>
        <v>4.2658435085449842</v>
      </c>
      <c r="V382" s="4">
        <f t="shared" si="325"/>
        <v>1.3341741937265172</v>
      </c>
      <c r="W382" t="str">
        <f t="shared" si="312"/>
        <v>1-1,09141718947678i</v>
      </c>
      <c r="X382" s="4">
        <f t="shared" si="326"/>
        <v>1.4802673682431133</v>
      </c>
      <c r="Y382" s="4">
        <f t="shared" si="327"/>
        <v>-0.82908099980608585</v>
      </c>
      <c r="Z382" t="str">
        <f t="shared" si="313"/>
        <v>0,992378157128147+0,149951894405361i</v>
      </c>
      <c r="AA382" s="4">
        <f t="shared" si="328"/>
        <v>1.0036433516846577</v>
      </c>
      <c r="AB382" s="4">
        <f t="shared" si="329"/>
        <v>0.149969070448148</v>
      </c>
      <c r="AC382" s="47" t="str">
        <f t="shared" si="330"/>
        <v>0,0978326293644462-0,263149599163913i</v>
      </c>
      <c r="AD382" s="20">
        <f t="shared" si="331"/>
        <v>-11.03369438114049</v>
      </c>
      <c r="AE382" s="43">
        <f t="shared" si="332"/>
        <v>-69.606088424556404</v>
      </c>
      <c r="AF382" t="str">
        <f t="shared" si="314"/>
        <v>171,265703090588</v>
      </c>
      <c r="AG382" t="str">
        <f t="shared" si="315"/>
        <v>1+1212,601551796i</v>
      </c>
      <c r="AH382">
        <f t="shared" si="333"/>
        <v>1212.6019641325292</v>
      </c>
      <c r="AI382">
        <f t="shared" si="334"/>
        <v>1.5699716537835322</v>
      </c>
      <c r="AJ382" t="str">
        <f t="shared" si="316"/>
        <v>1+4,14697731358581i</v>
      </c>
      <c r="AK382">
        <f t="shared" si="335"/>
        <v>4.2658435085449842</v>
      </c>
      <c r="AL382">
        <f t="shared" si="336"/>
        <v>1.3341741937265172</v>
      </c>
      <c r="AM382" t="str">
        <f t="shared" si="317"/>
        <v>1-0,344816393452286i</v>
      </c>
      <c r="AN382">
        <f t="shared" si="337"/>
        <v>1.0577799134004398</v>
      </c>
      <c r="AO382">
        <f t="shared" si="338"/>
        <v>-0.33204946420696946</v>
      </c>
      <c r="AP382" s="41" t="str">
        <f t="shared" si="339"/>
        <v>0,537293161504469-0,342758159473248i</v>
      </c>
      <c r="AQ382">
        <f t="shared" si="340"/>
        <v>-3.912952607597374</v>
      </c>
      <c r="AR382" s="43">
        <f t="shared" si="341"/>
        <v>-32.535232169811181</v>
      </c>
      <c r="AS382" t="str">
        <f t="shared" si="318"/>
        <v>-0,0000166666666666667</v>
      </c>
      <c r="AT382" t="str">
        <f t="shared" si="319"/>
        <v>0,000420457422071895i</v>
      </c>
      <c r="AU382">
        <f t="shared" si="342"/>
        <v>4.2045742207189502E-4</v>
      </c>
      <c r="AV382">
        <f t="shared" si="343"/>
        <v>1.5707963267948966</v>
      </c>
      <c r="AW382" t="str">
        <f t="shared" si="320"/>
        <v>1+1,9483437973468i</v>
      </c>
      <c r="AX382">
        <f t="shared" si="344"/>
        <v>2.1899871124414751</v>
      </c>
      <c r="AY382">
        <f t="shared" si="345"/>
        <v>1.0965998956403753</v>
      </c>
      <c r="AZ382" t="str">
        <f t="shared" si="321"/>
        <v>1+90,5094254949285i</v>
      </c>
      <c r="BA382">
        <f t="shared" si="346"/>
        <v>90.514949612878937</v>
      </c>
      <c r="BB382">
        <f t="shared" si="347"/>
        <v>1.5597482032741719</v>
      </c>
      <c r="BC382" s="41" t="str">
        <f t="shared" si="348"/>
        <v>-0,73195860468614+1,46574637579445i</v>
      </c>
      <c r="BD382">
        <f t="shared" si="349"/>
        <v>4.2881096253769115</v>
      </c>
      <c r="BE382" s="43">
        <f t="shared" si="350"/>
        <v>116.53644331604315</v>
      </c>
      <c r="BF382" s="41" t="str">
        <f t="shared" si="351"/>
        <v>0,314101136383891+0,336012435353114i</v>
      </c>
      <c r="BG382" s="20">
        <f t="shared" si="352"/>
        <v>-6.7455847557635806</v>
      </c>
      <c r="BH382" s="43">
        <f t="shared" si="353"/>
        <v>46.930354891486843</v>
      </c>
      <c r="BI382" s="41" t="str">
        <f t="shared" si="357"/>
        <v>0,109120177219673+1,03842028836715i</v>
      </c>
      <c r="BJ382" s="20">
        <f t="shared" si="354"/>
        <v>0.37515701777957372</v>
      </c>
      <c r="BK382" s="43">
        <f t="shared" si="358"/>
        <v>84.001211146232023</v>
      </c>
      <c r="BL382">
        <f t="shared" si="355"/>
        <v>-6.7455847557635806</v>
      </c>
      <c r="BM382" s="43">
        <f t="shared" si="356"/>
        <v>46.930354891486843</v>
      </c>
    </row>
    <row r="383" spans="14:65" x14ac:dyDescent="0.25">
      <c r="N383" s="9">
        <v>65</v>
      </c>
      <c r="O383" s="34">
        <f t="shared" si="308"/>
        <v>44668.359215096389</v>
      </c>
      <c r="P383" s="33" t="str">
        <f t="shared" si="309"/>
        <v>54,631621870174</v>
      </c>
      <c r="Q383" s="4" t="str">
        <f t="shared" si="310"/>
        <v>1+1252,83633596176i</v>
      </c>
      <c r="R383" s="4">
        <f t="shared" si="322"/>
        <v>1252.8367350561234</v>
      </c>
      <c r="S383" s="4">
        <f t="shared" si="323"/>
        <v>1.5699981381098087</v>
      </c>
      <c r="T383" s="4" t="str">
        <f t="shared" si="311"/>
        <v>1+4,24357282413965i</v>
      </c>
      <c r="U383" s="4">
        <f t="shared" si="324"/>
        <v>4.3598062243380227</v>
      </c>
      <c r="V383" s="4">
        <f t="shared" si="325"/>
        <v>1.3393680124585041</v>
      </c>
      <c r="W383" t="str">
        <f t="shared" si="312"/>
        <v>1-1,11683956164635i</v>
      </c>
      <c r="X383" s="4">
        <f t="shared" si="326"/>
        <v>1.4991099380827315</v>
      </c>
      <c r="Y383" s="4">
        <f t="shared" si="327"/>
        <v>-0.84053749886870222</v>
      </c>
      <c r="Z383" t="str">
        <f t="shared" si="313"/>
        <v>0,992018950740124+0,15344472272423i</v>
      </c>
      <c r="AA383" s="4">
        <f t="shared" si="328"/>
        <v>1.0038161592440382</v>
      </c>
      <c r="AB383" s="4">
        <f t="shared" si="329"/>
        <v>0.15346303596611777</v>
      </c>
      <c r="AC383" s="47" t="str">
        <f t="shared" si="330"/>
        <v>0,0963322155973505-0,267078104187805i</v>
      </c>
      <c r="AD383" s="20">
        <f t="shared" si="331"/>
        <v>-10.936077951254061</v>
      </c>
      <c r="AE383" s="43">
        <f t="shared" si="332"/>
        <v>-70.16616830817344</v>
      </c>
      <c r="AF383" t="str">
        <f t="shared" si="314"/>
        <v>171,265703090588</v>
      </c>
      <c r="AG383" t="str">
        <f t="shared" si="315"/>
        <v>1+1240,84667038162i</v>
      </c>
      <c r="AH383">
        <f t="shared" si="333"/>
        <v>1240.847073332227</v>
      </c>
      <c r="AI383">
        <f t="shared" si="334"/>
        <v>1.5699904256248509</v>
      </c>
      <c r="AJ383" t="str">
        <f t="shared" si="316"/>
        <v>1+4,24357282413965i</v>
      </c>
      <c r="AK383">
        <f t="shared" si="335"/>
        <v>4.3598062243380227</v>
      </c>
      <c r="AL383">
        <f t="shared" si="336"/>
        <v>1.3393680124585041</v>
      </c>
      <c r="AM383" t="str">
        <f t="shared" si="317"/>
        <v>1-0,352848199043248i</v>
      </c>
      <c r="AN383">
        <f t="shared" si="337"/>
        <v>1.0604253163556892</v>
      </c>
      <c r="AO383">
        <f t="shared" si="338"/>
        <v>-0.33920993365232216</v>
      </c>
      <c r="AP383" s="41" t="str">
        <f t="shared" si="339"/>
        <v>0,537287935697856-0,344257597898264i</v>
      </c>
      <c r="AQ383">
        <f t="shared" si="340"/>
        <v>-3.9020116882832183</v>
      </c>
      <c r="AR383" s="43">
        <f t="shared" si="341"/>
        <v>-32.648988502744707</v>
      </c>
      <c r="AS383" t="str">
        <f t="shared" si="318"/>
        <v>-0,0000166666666666667</v>
      </c>
      <c r="AT383" t="str">
        <f t="shared" si="319"/>
        <v>0,000430251133558602i</v>
      </c>
      <c r="AU383">
        <f t="shared" si="342"/>
        <v>4.3025113355860199E-4</v>
      </c>
      <c r="AV383">
        <f t="shared" si="343"/>
        <v>1.5707963267948966</v>
      </c>
      <c r="AW383" t="str">
        <f t="shared" si="320"/>
        <v>1+1,99372655437866i</v>
      </c>
      <c r="AX383">
        <f t="shared" si="344"/>
        <v>2.2304586016410628</v>
      </c>
      <c r="AY383">
        <f t="shared" si="345"/>
        <v>1.1058908729229751</v>
      </c>
      <c r="AZ383" t="str">
        <f t="shared" si="321"/>
        <v>1+92,6176608443176i</v>
      </c>
      <c r="BA383">
        <f t="shared" si="346"/>
        <v>92.623059225405868</v>
      </c>
      <c r="BB383">
        <f t="shared" si="347"/>
        <v>1.5599996694981568</v>
      </c>
      <c r="BC383" s="41" t="str">
        <f t="shared" si="348"/>
        <v>-0,705636935089942+1,44558416149353i</v>
      </c>
      <c r="BD383">
        <f t="shared" si="349"/>
        <v>4.129033611335549</v>
      </c>
      <c r="BE383" s="43">
        <f t="shared" si="350"/>
        <v>116.0185174835228</v>
      </c>
      <c r="BF383" s="41" t="str">
        <f t="shared" si="351"/>
        <v>0,318108307931072+0,327716499977825i</v>
      </c>
      <c r="BG383" s="20">
        <f t="shared" si="352"/>
        <v>-6.8070443399185097</v>
      </c>
      <c r="BH383" s="43">
        <f t="shared" si="353"/>
        <v>45.852349175349396</v>
      </c>
      <c r="BI383" s="41" t="str">
        <f t="shared" si="357"/>
        <v>0,118523118788902+1,01961580626873i</v>
      </c>
      <c r="BJ383" s="20">
        <f t="shared" si="354"/>
        <v>0.22702192305231625</v>
      </c>
      <c r="BK383" s="43">
        <f t="shared" si="358"/>
        <v>83.369528980778099</v>
      </c>
      <c r="BL383">
        <f t="shared" si="355"/>
        <v>-6.8070443399185097</v>
      </c>
      <c r="BM383" s="43">
        <f t="shared" si="356"/>
        <v>45.852349175349396</v>
      </c>
    </row>
    <row r="384" spans="14:65" x14ac:dyDescent="0.25">
      <c r="N384" s="9">
        <v>66</v>
      </c>
      <c r="O384" s="34">
        <f t="shared" ref="O384:O418" si="359">10^(4+(N384/100))</f>
        <v>45708.818961487581</v>
      </c>
      <c r="P384" s="33" t="str">
        <f t="shared" si="309"/>
        <v>54,631621870174</v>
      </c>
      <c r="Q384" s="4" t="str">
        <f t="shared" si="310"/>
        <v>1+1282,01864306436i</v>
      </c>
      <c r="R384" s="4">
        <f t="shared" si="322"/>
        <v>1282.0190330742298</v>
      </c>
      <c r="S384" s="4">
        <f t="shared" si="323"/>
        <v>1.5700163070950275</v>
      </c>
      <c r="T384" s="4" t="str">
        <f t="shared" si="311"/>
        <v>1+4,34241833317513i</v>
      </c>
      <c r="U384" s="4">
        <f t="shared" si="324"/>
        <v>4.4560741668306498</v>
      </c>
      <c r="V384" s="4">
        <f t="shared" si="325"/>
        <v>1.344455920090472</v>
      </c>
      <c r="W384" t="str">
        <f t="shared" si="312"/>
        <v>1-1,14285409693462i</v>
      </c>
      <c r="X384" s="4">
        <f t="shared" si="326"/>
        <v>1.5185899666731126</v>
      </c>
      <c r="Y384" s="4">
        <f t="shared" si="327"/>
        <v>-0.8519650063730162</v>
      </c>
      <c r="Z384" t="str">
        <f t="shared" si="313"/>
        <v>0,991642815476584+0,157018909466168i</v>
      </c>
      <c r="AA384" s="4">
        <f t="shared" si="328"/>
        <v>1.0039972168369149</v>
      </c>
      <c r="AB384" s="4">
        <f t="shared" si="329"/>
        <v>0.15703843015752234</v>
      </c>
      <c r="AC384" s="47" t="str">
        <f t="shared" si="330"/>
        <v>0,0947623199653636-0,271134049006846i</v>
      </c>
      <c r="AD384" s="20">
        <f t="shared" si="331"/>
        <v>-10.835799023862689</v>
      </c>
      <c r="AE384" s="43">
        <f t="shared" si="332"/>
        <v>-70.735296628094574</v>
      </c>
      <c r="AF384" t="str">
        <f t="shared" si="314"/>
        <v>171,265703090588</v>
      </c>
      <c r="AG384" t="str">
        <f t="shared" si="315"/>
        <v>1+1269,74970229642i</v>
      </c>
      <c r="AH384">
        <f t="shared" si="333"/>
        <v>1269.7500960747541</v>
      </c>
      <c r="AI384">
        <f t="shared" si="334"/>
        <v>1.5700087701674423</v>
      </c>
      <c r="AJ384" t="str">
        <f t="shared" si="316"/>
        <v>1+4,34241833317513i</v>
      </c>
      <c r="AK384">
        <f t="shared" si="335"/>
        <v>4.4560741668306498</v>
      </c>
      <c r="AL384">
        <f t="shared" si="336"/>
        <v>1.344455920090472</v>
      </c>
      <c r="AM384" t="str">
        <f t="shared" si="317"/>
        <v>1-0,36106708941984i</v>
      </c>
      <c r="AN384">
        <f t="shared" si="337"/>
        <v>1.0631883384716532</v>
      </c>
      <c r="AO384">
        <f t="shared" si="338"/>
        <v>-0.34649992046521277</v>
      </c>
      <c r="AP384" s="41" t="str">
        <f t="shared" si="339"/>
        <v>0,537282945090981-0,345939565879276i</v>
      </c>
      <c r="AQ384">
        <f t="shared" si="340"/>
        <v>-3.8897047506761</v>
      </c>
      <c r="AR384" s="43">
        <f t="shared" si="341"/>
        <v>-32.77620941083282</v>
      </c>
      <c r="AS384" t="str">
        <f t="shared" si="318"/>
        <v>-0,0000166666666666667</v>
      </c>
      <c r="AT384" t="str">
        <f t="shared" si="319"/>
        <v>0,000440272969891368i</v>
      </c>
      <c r="AU384">
        <f t="shared" si="342"/>
        <v>4.4027296989136803E-4</v>
      </c>
      <c r="AV384">
        <f t="shared" si="343"/>
        <v>1.5707963267948966</v>
      </c>
      <c r="AW384" t="str">
        <f t="shared" si="320"/>
        <v>1+2,04016641161973i</v>
      </c>
      <c r="AX384">
        <f t="shared" si="344"/>
        <v>2.2720649170086067</v>
      </c>
      <c r="AY384">
        <f t="shared" si="345"/>
        <v>1.1150548090147694</v>
      </c>
      <c r="AZ384" t="str">
        <f t="shared" si="321"/>
        <v>1+94,7750033034255i</v>
      </c>
      <c r="BA384">
        <f t="shared" si="346"/>
        <v>94.780278809277164</v>
      </c>
      <c r="BB384">
        <f t="shared" si="347"/>
        <v>1.5602454129715295</v>
      </c>
      <c r="BC384" s="41" t="str">
        <f t="shared" si="348"/>
        <v>-0,680030148620458+1,42522997107861i</v>
      </c>
      <c r="BD384">
        <f t="shared" si="349"/>
        <v>3.9684794502070924</v>
      </c>
      <c r="BE384" s="43">
        <f t="shared" si="350"/>
        <v>115.50754268560244</v>
      </c>
      <c r="BF384" s="41" t="str">
        <f t="shared" si="351"/>
        <v>0,321987138294788+0,319437426185769i</v>
      </c>
      <c r="BG384" s="20">
        <f t="shared" si="352"/>
        <v>-6.8673195736555979</v>
      </c>
      <c r="BH384" s="43">
        <f t="shared" si="353"/>
        <v>44.772246057507864</v>
      </c>
      <c r="BI384" s="41" t="str">
        <f t="shared" si="357"/>
        <v>0,12767483647161+1,00100109069163i</v>
      </c>
      <c r="BJ384" s="20">
        <f t="shared" si="354"/>
        <v>7.8774699530992559E-2</v>
      </c>
      <c r="BK384" s="43">
        <f t="shared" si="358"/>
        <v>82.731333274769668</v>
      </c>
      <c r="BL384">
        <f t="shared" si="355"/>
        <v>-6.8673195736555979</v>
      </c>
      <c r="BM384" s="43">
        <f t="shared" si="356"/>
        <v>44.772246057507864</v>
      </c>
    </row>
    <row r="385" spans="14:65" x14ac:dyDescent="0.25">
      <c r="N385" s="9">
        <v>67</v>
      </c>
      <c r="O385" s="34">
        <f t="shared" si="359"/>
        <v>46773.514128719893</v>
      </c>
      <c r="P385" s="33" t="str">
        <f t="shared" si="309"/>
        <v>54,631621870174</v>
      </c>
      <c r="Q385" s="4" t="str">
        <f t="shared" si="310"/>
        <v>1+1311,88069342105i</v>
      </c>
      <c r="R385" s="4">
        <f t="shared" si="322"/>
        <v>1311.8810745532137</v>
      </c>
      <c r="S385" s="4">
        <f t="shared" si="323"/>
        <v>1.5700340625041478</v>
      </c>
      <c r="T385" s="4" t="str">
        <f t="shared" si="311"/>
        <v>1+4,4435662498896i</v>
      </c>
      <c r="U385" s="4">
        <f t="shared" si="324"/>
        <v>4.5546987844596183</v>
      </c>
      <c r="V385" s="4">
        <f t="shared" si="325"/>
        <v>1.3494395601522051</v>
      </c>
      <c r="W385" t="str">
        <f t="shared" si="312"/>
        <v>1-1,16947458859255i</v>
      </c>
      <c r="X385" s="4">
        <f t="shared" si="326"/>
        <v>1.5387237612267233</v>
      </c>
      <c r="Y385" s="4">
        <f t="shared" si="327"/>
        <v>-0.86335764391637804</v>
      </c>
      <c r="Z385" t="str">
        <f t="shared" si="313"/>
        <v>0,991248953504202+0,160676349712296i</v>
      </c>
      <c r="AA385" s="4">
        <f t="shared" si="328"/>
        <v>1.0041869234261336</v>
      </c>
      <c r="AB385" s="4">
        <f t="shared" si="329"/>
        <v>0.16069715178421587</v>
      </c>
      <c r="AC385" s="47" t="str">
        <f t="shared" si="330"/>
        <v>0,0931197654033841-0,275318578316711i</v>
      </c>
      <c r="AD385" s="20">
        <f t="shared" si="331"/>
        <v>-10.732892268197036</v>
      </c>
      <c r="AE385" s="43">
        <f t="shared" si="332"/>
        <v>-71.313151752330938</v>
      </c>
      <c r="AF385" t="str">
        <f t="shared" si="314"/>
        <v>171,265703090588</v>
      </c>
      <c r="AG385" t="str">
        <f t="shared" si="315"/>
        <v>1+1299,3259723105i</v>
      </c>
      <c r="AH385">
        <f t="shared" si="333"/>
        <v>1299.3263571253476</v>
      </c>
      <c r="AI385">
        <f t="shared" si="334"/>
        <v>1.5700266971377763</v>
      </c>
      <c r="AJ385" t="str">
        <f t="shared" si="316"/>
        <v>1+4,4435662498896i</v>
      </c>
      <c r="AK385">
        <f t="shared" si="335"/>
        <v>4.5546987844596183</v>
      </c>
      <c r="AL385">
        <f t="shared" si="336"/>
        <v>1.3494395601522051</v>
      </c>
      <c r="AM385" t="str">
        <f t="shared" si="317"/>
        <v>1-0,369477422346531i</v>
      </c>
      <c r="AN385">
        <f t="shared" si="337"/>
        <v>1.0660739025151291</v>
      </c>
      <c r="AO385">
        <f t="shared" si="338"/>
        <v>-0.35392018958955257</v>
      </c>
      <c r="AP385" s="41" t="str">
        <f t="shared" si="339"/>
        <v>0,537278179098148-0,347804955243283i</v>
      </c>
      <c r="AQ385">
        <f t="shared" si="340"/>
        <v>-3.87601746926478</v>
      </c>
      <c r="AR385" s="43">
        <f t="shared" si="341"/>
        <v>-32.916845112098649</v>
      </c>
      <c r="AS385" t="str">
        <f t="shared" si="318"/>
        <v>-0,0000166666666666667</v>
      </c>
      <c r="AT385" t="str">
        <f t="shared" si="319"/>
        <v>0,000450528244780473i</v>
      </c>
      <c r="AU385">
        <f t="shared" si="342"/>
        <v>4.5052824478047302E-4</v>
      </c>
      <c r="AV385">
        <f t="shared" si="343"/>
        <v>1.5707963267948966</v>
      </c>
      <c r="AW385" t="str">
        <f t="shared" si="320"/>
        <v>1+2,08768799209704i</v>
      </c>
      <c r="AX385">
        <f t="shared" si="344"/>
        <v>2.3148306962597007</v>
      </c>
      <c r="AY385">
        <f t="shared" si="345"/>
        <v>1.1240904052732505</v>
      </c>
      <c r="AZ385" t="str">
        <f t="shared" si="321"/>
        <v>1+96,9825967237809i</v>
      </c>
      <c r="BA385">
        <f t="shared" si="346"/>
        <v>96.987752150916052</v>
      </c>
      <c r="BB385">
        <f t="shared" si="347"/>
        <v>1.5604855638719413</v>
      </c>
      <c r="BC385" s="41" t="str">
        <f t="shared" si="348"/>
        <v>-0,655135560326483+1,40471225356648i</v>
      </c>
      <c r="BD385">
        <f t="shared" si="349"/>
        <v>3.8064877518869937</v>
      </c>
      <c r="BE385" s="43">
        <f t="shared" si="350"/>
        <v>115.00360078764724</v>
      </c>
      <c r="BF385" s="41" t="str">
        <f t="shared" si="351"/>
        <v>0,32573731091097+0,311177466585179i</v>
      </c>
      <c r="BG385" s="20">
        <f t="shared" si="352"/>
        <v>-6.9264045163100381</v>
      </c>
      <c r="BH385" s="43">
        <f t="shared" si="353"/>
        <v>43.690449035316341</v>
      </c>
      <c r="BI385" s="41" t="str">
        <f t="shared" si="357"/>
        <v>0,136575841566723+0,98258063599069i</v>
      </c>
      <c r="BJ385" s="20">
        <f t="shared" si="354"/>
        <v>-6.9529717377783878E-2</v>
      </c>
      <c r="BK385" s="43">
        <f t="shared" si="358"/>
        <v>82.086755675548602</v>
      </c>
      <c r="BL385">
        <f t="shared" si="355"/>
        <v>-6.9264045163100381</v>
      </c>
      <c r="BM385" s="43">
        <f t="shared" si="356"/>
        <v>43.690449035316341</v>
      </c>
    </row>
    <row r="386" spans="14:65" x14ac:dyDescent="0.25">
      <c r="N386" s="9">
        <v>68</v>
      </c>
      <c r="O386" s="34">
        <f t="shared" si="359"/>
        <v>47863.009232263823</v>
      </c>
      <c r="P386" s="33" t="str">
        <f t="shared" si="309"/>
        <v>54,631621870174</v>
      </c>
      <c r="Q386" s="4" t="str">
        <f t="shared" si="310"/>
        <v>1+1342,43832028617i</v>
      </c>
      <c r="R386" s="4">
        <f t="shared" si="322"/>
        <v>1342.438692742709</v>
      </c>
      <c r="S386" s="4">
        <f t="shared" si="323"/>
        <v>1.5700514137512778</v>
      </c>
      <c r="T386" s="4" t="str">
        <f t="shared" si="311"/>
        <v>1+4,54707020424728i</v>
      </c>
      <c r="U386" s="4">
        <f t="shared" si="324"/>
        <v>4.6557327503147556</v>
      </c>
      <c r="V386" s="4">
        <f t="shared" si="325"/>
        <v>1.3543205843736918</v>
      </c>
      <c r="W386" t="str">
        <f t="shared" si="312"/>
        <v>1-1,19671515115717i</v>
      </c>
      <c r="X386" s="4">
        <f t="shared" si="326"/>
        <v>1.5595278622099473</v>
      </c>
      <c r="Y386" s="4">
        <f t="shared" si="327"/>
        <v>-0.87470962350518411</v>
      </c>
      <c r="Z386" t="str">
        <f t="shared" si="313"/>
        <v>0,990836529388929+0,164418982685844i</v>
      </c>
      <c r="AA386" s="4">
        <f t="shared" si="328"/>
        <v>1.0043856977471082</v>
      </c>
      <c r="AB386" s="4">
        <f t="shared" si="329"/>
        <v>0.16444114385097588</v>
      </c>
      <c r="AC386" s="47" t="str">
        <f t="shared" si="330"/>
        <v>0,0914012355013663-0,279632833984362i</v>
      </c>
      <c r="AD386" s="20">
        <f t="shared" si="331"/>
        <v>-10.627394124316602</v>
      </c>
      <c r="AE386" s="43">
        <f t="shared" si="332"/>
        <v>-71.899419281481372</v>
      </c>
      <c r="AF386" t="str">
        <f t="shared" si="314"/>
        <v>171,265703090588</v>
      </c>
      <c r="AG386" t="str">
        <f t="shared" si="315"/>
        <v>1+1329,59116215371i</v>
      </c>
      <c r="AH386">
        <f t="shared" si="333"/>
        <v>1329.5915382091048</v>
      </c>
      <c r="AI386">
        <f t="shared" si="334"/>
        <v>1.5700442160409238</v>
      </c>
      <c r="AJ386" t="str">
        <f t="shared" si="316"/>
        <v>1+4,54707020424728i</v>
      </c>
      <c r="AK386">
        <f t="shared" si="335"/>
        <v>4.6557327503147556</v>
      </c>
      <c r="AL386">
        <f t="shared" si="336"/>
        <v>1.3543205843736918</v>
      </c>
      <c r="AM386" t="str">
        <f t="shared" si="317"/>
        <v>1-0,378083657093161i</v>
      </c>
      <c r="AN386">
        <f t="shared" si="337"/>
        <v>1.0690871113996927</v>
      </c>
      <c r="AO386">
        <f t="shared" si="338"/>
        <v>-0.36147140586934906</v>
      </c>
      <c r="AP386" s="41" t="str">
        <f t="shared" si="339"/>
        <v>0,537273627610076-0,349854755068036i</v>
      </c>
      <c r="AQ386">
        <f t="shared" si="340"/>
        <v>-3.8609340801764351</v>
      </c>
      <c r="AR386" s="43">
        <f t="shared" si="341"/>
        <v>-33.070839606741202</v>
      </c>
      <c r="AS386" t="str">
        <f t="shared" si="318"/>
        <v>-0,0000166666666666667</v>
      </c>
      <c r="AT386" t="str">
        <f t="shared" si="319"/>
        <v>0,000461022395708405i</v>
      </c>
      <c r="AU386">
        <f t="shared" si="342"/>
        <v>4.6102239570840501E-4</v>
      </c>
      <c r="AV386">
        <f t="shared" si="343"/>
        <v>1.5707963267948966</v>
      </c>
      <c r="AW386" t="str">
        <f t="shared" si="320"/>
        <v>1+2,13631649238158i</v>
      </c>
      <c r="AX386">
        <f t="shared" si="344"/>
        <v>2.3587810741189053</v>
      </c>
      <c r="AY386">
        <f t="shared" si="345"/>
        <v>1.1329965500377346</v>
      </c>
      <c r="AZ386" t="str">
        <f t="shared" si="321"/>
        <v>1+99,2416116006351i</v>
      </c>
      <c r="BA386">
        <f t="shared" si="346"/>
        <v>99.246649681948</v>
      </c>
      <c r="BB386">
        <f t="shared" si="347"/>
        <v>1.5607202494197137</v>
      </c>
      <c r="BC386" s="41" t="str">
        <f t="shared" si="348"/>
        <v>-0,630949164791976+1,38405864028161i</v>
      </c>
      <c r="BD386">
        <f t="shared" si="349"/>
        <v>3.6430989374545764</v>
      </c>
      <c r="BE386" s="43">
        <f t="shared" si="350"/>
        <v>114.50676277230974</v>
      </c>
      <c r="BF386" s="41" t="str">
        <f t="shared" si="351"/>
        <v>0,329358706781947+0,302938772778927i</v>
      </c>
      <c r="BG386" s="20">
        <f t="shared" si="352"/>
        <v>-6.9842951868620284</v>
      </c>
      <c r="BH386" s="43">
        <f t="shared" si="353"/>
        <v>42.607343490828441</v>
      </c>
      <c r="BI386" s="41" t="str">
        <f t="shared" si="357"/>
        <v>0,145227149990189+0,964358771997849i</v>
      </c>
      <c r="BJ386" s="20">
        <f t="shared" si="354"/>
        <v>-0.21783514272185456</v>
      </c>
      <c r="BK386" s="43">
        <f t="shared" si="358"/>
        <v>81.435923165568539</v>
      </c>
      <c r="BL386">
        <f t="shared" si="355"/>
        <v>-6.9842951868620284</v>
      </c>
      <c r="BM386" s="43">
        <f t="shared" si="356"/>
        <v>42.607343490828441</v>
      </c>
    </row>
    <row r="387" spans="14:65" x14ac:dyDescent="0.25">
      <c r="N387" s="9">
        <v>69</v>
      </c>
      <c r="O387" s="34">
        <f t="shared" si="359"/>
        <v>48977.881936844598</v>
      </c>
      <c r="P387" s="33" t="str">
        <f t="shared" si="309"/>
        <v>54,631621870174</v>
      </c>
      <c r="Q387" s="4" t="str">
        <f t="shared" si="310"/>
        <v>1+1373,70772571798i</v>
      </c>
      <c r="R387" s="4">
        <f t="shared" si="322"/>
        <v>1373.7080896963755</v>
      </c>
      <c r="S387" s="4">
        <f t="shared" si="323"/>
        <v>1.5700683700362368</v>
      </c>
      <c r="T387" s="4" t="str">
        <f t="shared" si="311"/>
        <v>1+4,65298507541486i</v>
      </c>
      <c r="U387" s="4">
        <f t="shared" si="324"/>
        <v>4.7592299915042382</v>
      </c>
      <c r="V387" s="4">
        <f t="shared" si="325"/>
        <v>1.3591006500153469</v>
      </c>
      <c r="W387" t="str">
        <f t="shared" si="312"/>
        <v>1-1,22459022793533i</v>
      </c>
      <c r="X387" s="4">
        <f t="shared" si="326"/>
        <v>1.5810190468032645</v>
      </c>
      <c r="Y387" s="4">
        <f t="shared" si="327"/>
        <v>-0.88601526172354883</v>
      </c>
      <c r="Z387" t="str">
        <f t="shared" si="313"/>
        <v>0,990404668323922+0,168248792780355i</v>
      </c>
      <c r="AA387" s="4">
        <f t="shared" si="328"/>
        <v>1.0045939793318817</v>
      </c>
      <c r="AB387" s="4">
        <f t="shared" si="329"/>
        <v>0.16827239462136193</v>
      </c>
      <c r="AC387" s="47" t="str">
        <f t="shared" si="330"/>
        <v>0,089603268898014-0,284077950691736i</v>
      </c>
      <c r="AD387" s="20">
        <f t="shared" si="331"/>
        <v>-10.519342766751262</v>
      </c>
      <c r="AE387" s="43">
        <f t="shared" si="332"/>
        <v>-72.493793071996777</v>
      </c>
      <c r="AF387" t="str">
        <f t="shared" si="314"/>
        <v>171,265703090588</v>
      </c>
      <c r="AG387" t="str">
        <f t="shared" si="315"/>
        <v>1+1360,56131883031i</v>
      </c>
      <c r="AH387">
        <f t="shared" si="333"/>
        <v>1360.5616863256412</v>
      </c>
      <c r="AI387">
        <f t="shared" si="334"/>
        <v>1.5700613361655957</v>
      </c>
      <c r="AJ387" t="str">
        <f t="shared" si="316"/>
        <v>1+4,65298507541486i</v>
      </c>
      <c r="AK387">
        <f t="shared" si="335"/>
        <v>4.7592299915042382</v>
      </c>
      <c r="AL387">
        <f t="shared" si="336"/>
        <v>1.3591006500153469</v>
      </c>
      <c r="AM387" t="str">
        <f t="shared" si="317"/>
        <v>1-0,38689035679931i</v>
      </c>
      <c r="AN387">
        <f t="shared" si="337"/>
        <v>1.0722332526947191</v>
      </c>
      <c r="AO387">
        <f t="shared" si="338"/>
        <v>-0.36915412744795328</v>
      </c>
      <c r="AP387" s="41" t="str">
        <f t="shared" si="339"/>
        <v>0,537269280972489-0,35209005220658i</v>
      </c>
      <c r="AQ387">
        <f t="shared" si="340"/>
        <v>-3.844437415418037</v>
      </c>
      <c r="AR387" s="43">
        <f t="shared" si="341"/>
        <v>-33.238130452195435</v>
      </c>
      <c r="AS387" t="str">
        <f t="shared" si="318"/>
        <v>-0,0000166666666666667</v>
      </c>
      <c r="AT387" t="str">
        <f t="shared" si="319"/>
        <v>0,000471760986812896i</v>
      </c>
      <c r="AU387">
        <f t="shared" si="342"/>
        <v>4.7176098681289599E-4</v>
      </c>
      <c r="AV387">
        <f t="shared" si="343"/>
        <v>1.5707963267948966</v>
      </c>
      <c r="AW387" t="str">
        <f t="shared" si="320"/>
        <v>1+2,18607769594787i</v>
      </c>
      <c r="AX387">
        <f t="shared" si="344"/>
        <v>2.4039416991101819</v>
      </c>
      <c r="AY387">
        <f t="shared" si="345"/>
        <v>1.1417723130182118</v>
      </c>
      <c r="AZ387" t="str">
        <f t="shared" si="321"/>
        <v>1+101,553245693578i</v>
      </c>
      <c r="BA387">
        <f t="shared" si="346"/>
        <v>101.55816909978351</v>
      </c>
      <c r="BB387">
        <f t="shared" si="347"/>
        <v>1.5609495939447646</v>
      </c>
      <c r="BC387" s="41" t="str">
        <f t="shared" si="348"/>
        <v>-0,607465722665968+1,36329589168174i</v>
      </c>
      <c r="BD387">
        <f t="shared" si="349"/>
        <v>3.4783531663061433</v>
      </c>
      <c r="BE387" s="43">
        <f t="shared" si="350"/>
        <v>114.0170890648611</v>
      </c>
      <c r="BF387" s="41" t="str">
        <f t="shared" si="351"/>
        <v>0,332851388601047+0,294723385980339i</v>
      </c>
      <c r="BG387" s="20">
        <f t="shared" si="352"/>
        <v>-7.0409896004451138</v>
      </c>
      <c r="BH387" s="43">
        <f t="shared" si="353"/>
        <v>41.523295992864263</v>
      </c>
      <c r="BI387" s="41" t="str">
        <f t="shared" si="357"/>
        <v>0,153630249643062+0,946339641483765i</v>
      </c>
      <c r="BJ387" s="20">
        <f t="shared" si="354"/>
        <v>-0.36608424911189491</v>
      </c>
      <c r="BK387" s="43">
        <f t="shared" si="358"/>
        <v>80.778958612665662</v>
      </c>
      <c r="BL387">
        <f t="shared" si="355"/>
        <v>-7.0409896004451138</v>
      </c>
      <c r="BM387" s="43">
        <f t="shared" si="356"/>
        <v>41.523295992864263</v>
      </c>
    </row>
    <row r="388" spans="14:65" x14ac:dyDescent="0.25">
      <c r="N388" s="9">
        <v>70</v>
      </c>
      <c r="O388" s="34">
        <f t="shared" si="359"/>
        <v>50118.723362727294</v>
      </c>
      <c r="P388" s="33" t="str">
        <f t="shared" si="309"/>
        <v>54,631621870174</v>
      </c>
      <c r="Q388" s="4" t="str">
        <f t="shared" si="310"/>
        <v>1+1405,70548916915i</v>
      </c>
      <c r="R388" s="4">
        <f t="shared" si="322"/>
        <v>1405.7058448623877</v>
      </c>
      <c r="S388" s="4">
        <f t="shared" si="323"/>
        <v>1.5700849403494324</v>
      </c>
      <c r="T388" s="4" t="str">
        <f t="shared" si="311"/>
        <v>1+4,76136702085897i</v>
      </c>
      <c r="U388" s="4">
        <f t="shared" si="324"/>
        <v>4.8652457191105389</v>
      </c>
      <c r="V388" s="4">
        <f t="shared" si="325"/>
        <v>1.3637814173703597</v>
      </c>
      <c r="W388" t="str">
        <f t="shared" si="312"/>
        <v>1-1,25311459866172i</v>
      </c>
      <c r="X388" s="4">
        <f t="shared" si="326"/>
        <v>1.6032143329508763</v>
      </c>
      <c r="Y388" s="4">
        <f t="shared" si="327"/>
        <v>-0.89726899325529841</v>
      </c>
      <c r="Z388" t="str">
        <f t="shared" si="313"/>
        <v>0,989952454273962+0,172167810611834i</v>
      </c>
      <c r="AA388" s="4">
        <f t="shared" si="328"/>
        <v>1.0048122295901425</v>
      </c>
      <c r="AB388" s="4">
        <f t="shared" si="329"/>
        <v>0.17219293865429611</v>
      </c>
      <c r="AC388" s="47" t="str">
        <f t="shared" si="330"/>
        <v>0,0877222535051106-0,288655051235447i</v>
      </c>
      <c r="AD388" s="20">
        <f t="shared" si="331"/>
        <v>-10.408778060516138</v>
      </c>
      <c r="AE388" s="43">
        <f t="shared" si="332"/>
        <v>-73.095976213708298</v>
      </c>
      <c r="AF388" t="str">
        <f t="shared" si="314"/>
        <v>171,265703090588</v>
      </c>
      <c r="AG388" t="str">
        <f t="shared" si="315"/>
        <v>1+1392,25286312732i</v>
      </c>
      <c r="AH388">
        <f t="shared" si="333"/>
        <v>1392.2532222574384</v>
      </c>
      <c r="AI388">
        <f t="shared" si="334"/>
        <v>1.5700780665890688</v>
      </c>
      <c r="AJ388" t="str">
        <f t="shared" si="316"/>
        <v>1+4,76136702085897i</v>
      </c>
      <c r="AK388">
        <f t="shared" si="335"/>
        <v>4.8652457191105389</v>
      </c>
      <c r="AL388">
        <f t="shared" si="336"/>
        <v>1.3637814173703597</v>
      </c>
      <c r="AM388" t="str">
        <f t="shared" si="317"/>
        <v>1-0,395902190893736i</v>
      </c>
      <c r="AN388">
        <f t="shared" si="337"/>
        <v>1.0755178030857788</v>
      </c>
      <c r="AO388">
        <f t="shared" si="338"/>
        <v>-0.37696879906053926</v>
      </c>
      <c r="AP388" s="41" t="str">
        <f t="shared" si="339"/>
        <v>0,537265129965611-0,354512031863617i</v>
      </c>
      <c r="AQ388">
        <f t="shared" si="340"/>
        <v>-3.826508940989275</v>
      </c>
      <c r="AR388" s="43">
        <f t="shared" si="341"/>
        <v>-33.418648522206929</v>
      </c>
      <c r="AS388" t="str">
        <f t="shared" si="318"/>
        <v>-0,0000166666666666667</v>
      </c>
      <c r="AT388" t="str">
        <f t="shared" si="319"/>
        <v>0,00048274971183709i</v>
      </c>
      <c r="AU388">
        <f t="shared" si="342"/>
        <v>4.8274971183709001E-4</v>
      </c>
      <c r="AV388">
        <f t="shared" si="343"/>
        <v>1.5707963267948966</v>
      </c>
      <c r="AW388" t="str">
        <f t="shared" si="320"/>
        <v>1+2,23699798684471i</v>
      </c>
      <c r="AX388">
        <f t="shared" si="344"/>
        <v>2.4503387506929086</v>
      </c>
      <c r="AY388">
        <f t="shared" si="345"/>
        <v>1.1504169393631789</v>
      </c>
      <c r="AZ388" t="str">
        <f t="shared" si="321"/>
        <v>1+103,918724661604i</v>
      </c>
      <c r="BA388">
        <f t="shared" si="346"/>
        <v>103.92353600265083</v>
      </c>
      <c r="BB388">
        <f t="shared" si="347"/>
        <v>1.5611737189520352</v>
      </c>
      <c r="BC388" s="41" t="str">
        <f t="shared" si="348"/>
        <v>-0,584678847803095+1,34244985212594i</v>
      </c>
      <c r="BD388">
        <f t="shared" si="349"/>
        <v>3.312290268243391</v>
      </c>
      <c r="BE388" s="43">
        <f t="shared" si="350"/>
        <v>113.5346298768269</v>
      </c>
      <c r="BF388" s="41" t="str">
        <f t="shared" si="351"/>
        <v>0,336215584740372+0,286533229014974i</v>
      </c>
      <c r="BG388" s="20">
        <f t="shared" si="352"/>
        <v>-7.0964877922727574</v>
      </c>
      <c r="BH388" s="43">
        <f t="shared" si="353"/>
        <v>40.438653663118593</v>
      </c>
      <c r="BI388" s="41" t="str">
        <f t="shared" si="357"/>
        <v>0,161787067599106+0,928527180597112i</v>
      </c>
      <c r="BJ388" s="20">
        <f t="shared" si="354"/>
        <v>-0.51421867274588595</v>
      </c>
      <c r="BK388" s="43">
        <f t="shared" si="358"/>
        <v>80.115981354619947</v>
      </c>
      <c r="BL388">
        <f t="shared" si="355"/>
        <v>-7.0964877922727574</v>
      </c>
      <c r="BM388" s="43">
        <f t="shared" si="356"/>
        <v>40.438653663118593</v>
      </c>
    </row>
    <row r="389" spans="14:65" x14ac:dyDescent="0.25">
      <c r="N389" s="9">
        <v>71</v>
      </c>
      <c r="O389" s="34">
        <f t="shared" si="359"/>
        <v>51286.138399136544</v>
      </c>
      <c r="P389" s="33" t="str">
        <f t="shared" si="309"/>
        <v>54,631621870174</v>
      </c>
      <c r="Q389" s="4" t="str">
        <f t="shared" si="310"/>
        <v>1+1438,44857627738i</v>
      </c>
      <c r="R389" s="4">
        <f t="shared" si="322"/>
        <v>1438.4489238740532</v>
      </c>
      <c r="S389" s="4">
        <f t="shared" si="323"/>
        <v>1.5701011334766273</v>
      </c>
      <c r="T389" s="4" t="str">
        <f t="shared" si="311"/>
        <v>1+4,87227350612168i</v>
      </c>
      <c r="U389" s="4">
        <f t="shared" si="324"/>
        <v>4.9738364587564856</v>
      </c>
      <c r="V389" s="4">
        <f t="shared" si="325"/>
        <v>1.3683645474328621</v>
      </c>
      <c r="W389" t="str">
        <f t="shared" si="312"/>
        <v>1-1,28230338733525i</v>
      </c>
      <c r="X389" s="4">
        <f t="shared" si="326"/>
        <v>1.6261309840143434</v>
      </c>
      <c r="Y389" s="4">
        <f t="shared" si="327"/>
        <v>-0.90846538368565288</v>
      </c>
      <c r="Z389" t="str">
        <f t="shared" si="313"/>
        <v>0,989478928032418+0,17617811409541i</v>
      </c>
      <c r="AA389" s="4">
        <f t="shared" si="328"/>
        <v>1.0050409329506924</v>
      </c>
      <c r="AB389" s="4">
        <f t="shared" si="329"/>
        <v>0.17620485786142626</v>
      </c>
      <c r="AC389" s="47" t="str">
        <f t="shared" si="330"/>
        <v>0,0857544205635716-0,29336524145756i</v>
      </c>
      <c r="AD389" s="20">
        <f t="shared" si="331"/>
        <v>-10.295741510040406</v>
      </c>
      <c r="AE389" s="43">
        <f t="shared" si="332"/>
        <v>-73.705681957768661</v>
      </c>
      <c r="AF389" t="str">
        <f t="shared" si="314"/>
        <v>171,265703090588</v>
      </c>
      <c r="AG389" t="str">
        <f t="shared" si="315"/>
        <v>1+1424,68259832101i</v>
      </c>
      <c r="AH389">
        <f t="shared" si="333"/>
        <v>1424.6829492763306</v>
      </c>
      <c r="AI389">
        <f t="shared" si="334"/>
        <v>1.5700944161819979</v>
      </c>
      <c r="AJ389" t="str">
        <f t="shared" si="316"/>
        <v>1+4,87227350612168i</v>
      </c>
      <c r="AK389">
        <f t="shared" si="335"/>
        <v>4.9738364587564856</v>
      </c>
      <c r="AL389">
        <f t="shared" si="336"/>
        <v>1.3683645474328621</v>
      </c>
      <c r="AM389" t="str">
        <f t="shared" si="317"/>
        <v>1-0,405123937570158i</v>
      </c>
      <c r="AN389">
        <f t="shared" si="337"/>
        <v>1.0789464327724287</v>
      </c>
      <c r="AO389">
        <f t="shared" si="338"/>
        <v>-0.38491574524328925</v>
      </c>
      <c r="AP389" s="41" t="str">
        <f t="shared" si="339"/>
        <v>0,537261165784627-0,357121978224017i</v>
      </c>
      <c r="AQ389">
        <f t="shared" si="340"/>
        <v>-3.8071287989893499</v>
      </c>
      <c r="AR389" s="43">
        <f t="shared" si="341"/>
        <v>-33.612317751626762</v>
      </c>
      <c r="AS389" t="str">
        <f t="shared" si="318"/>
        <v>-0,0000166666666666667</v>
      </c>
      <c r="AT389" t="str">
        <f t="shared" si="319"/>
        <v>0,000493994397148448i</v>
      </c>
      <c r="AU389">
        <f t="shared" si="342"/>
        <v>4.9399439714844801E-4</v>
      </c>
      <c r="AV389">
        <f t="shared" si="343"/>
        <v>1.5707963267948966</v>
      </c>
      <c r="AW389" t="str">
        <f t="shared" si="320"/>
        <v>1+2,28910436368435i</v>
      </c>
      <c r="AX389">
        <f t="shared" si="344"/>
        <v>2.4979989567329155</v>
      </c>
      <c r="AY389">
        <f t="shared" si="345"/>
        <v>1.1589298434575976</v>
      </c>
      <c r="AZ389" t="str">
        <f t="shared" si="321"/>
        <v>1+106,339302712973i</v>
      </c>
      <c r="BA389">
        <f t="shared" si="346"/>
        <v>106.34400453942528</v>
      </c>
      <c r="BB389">
        <f t="shared" si="347"/>
        <v>1.5613927431854533</v>
      </c>
      <c r="BC389" s="41" t="str">
        <f t="shared" si="348"/>
        <v>-0,562581094352213+1,32154541229721i</v>
      </c>
      <c r="BD389">
        <f t="shared" si="349"/>
        <v>3.1449496805312087</v>
      </c>
      <c r="BE389" s="43">
        <f t="shared" si="350"/>
        <v>113.05942556500312</v>
      </c>
      <c r="BF389" s="41" t="str">
        <f t="shared" si="351"/>
        <v>0,339451673209508+0,278370099664089i</v>
      </c>
      <c r="BG389" s="20">
        <f t="shared" si="352"/>
        <v>-7.1507918295091919</v>
      </c>
      <c r="BH389" s="43">
        <f t="shared" si="353"/>
        <v>39.353743607234442</v>
      </c>
      <c r="BI389" s="41" t="str">
        <f t="shared" si="357"/>
        <v>0,169699937352393+0,910925102174619i</v>
      </c>
      <c r="BJ389" s="20">
        <f t="shared" si="354"/>
        <v>-0.66217911845814481</v>
      </c>
      <c r="BK389" s="43">
        <f t="shared" si="358"/>
        <v>79.447107813376334</v>
      </c>
      <c r="BL389">
        <f t="shared" si="355"/>
        <v>-7.1507918295091919</v>
      </c>
      <c r="BM389" s="43">
        <f t="shared" si="356"/>
        <v>39.353743607234442</v>
      </c>
    </row>
    <row r="390" spans="14:65" x14ac:dyDescent="0.25">
      <c r="N390" s="9">
        <v>72</v>
      </c>
      <c r="O390" s="34">
        <f t="shared" si="359"/>
        <v>52480.746024977314</v>
      </c>
      <c r="P390" s="33" t="str">
        <f t="shared" si="309"/>
        <v>54,631621870174</v>
      </c>
      <c r="Q390" s="4" t="str">
        <f t="shared" si="310"/>
        <v>1+1471,95434786087i</v>
      </c>
      <c r="R390" s="4">
        <f t="shared" si="322"/>
        <v>1471.9546875452786</v>
      </c>
      <c r="S390" s="4">
        <f t="shared" si="323"/>
        <v>1.5701169580035983</v>
      </c>
      <c r="T390" s="4" t="str">
        <f t="shared" si="311"/>
        <v>1+4,98576333528949i</v>
      </c>
      <c r="U390" s="4">
        <f t="shared" si="324"/>
        <v>5.0850600818001128</v>
      </c>
      <c r="V390" s="4">
        <f t="shared" si="325"/>
        <v>1.3728516997254239</v>
      </c>
      <c r="W390" t="str">
        <f t="shared" si="312"/>
        <v>1-1,31217207023803i</v>
      </c>
      <c r="X390" s="4">
        <f t="shared" si="326"/>
        <v>1.6497865140413648</v>
      </c>
      <c r="Y390" s="4">
        <f t="shared" si="327"/>
        <v>-0.91959914151699718</v>
      </c>
      <c r="Z390" t="str">
        <f t="shared" si="313"/>
        <v>0,988983085186647+0,180281829547072i</v>
      </c>
      <c r="AA390" s="4">
        <f t="shared" si="328"/>
        <v>1.005280598067096</v>
      </c>
      <c r="AB390" s="4">
        <f t="shared" si="329"/>
        <v>0.18031028258525411</v>
      </c>
      <c r="AC390" s="47" t="str">
        <f t="shared" si="330"/>
        <v>0,0836958385332202-0,298209604780979i</v>
      </c>
      <c r="AD390" s="20">
        <f t="shared" si="331"/>
        <v>-10.180276201611871</v>
      </c>
      <c r="AE390" s="43">
        <f t="shared" si="332"/>
        <v>-74.322634591621522</v>
      </c>
      <c r="AF390" t="str">
        <f t="shared" si="314"/>
        <v>171,265703090588</v>
      </c>
      <c r="AG390" t="str">
        <f t="shared" si="315"/>
        <v>1+1457,86771908622i</v>
      </c>
      <c r="AH390">
        <f t="shared" si="333"/>
        <v>1457.8680620528244</v>
      </c>
      <c r="AI390">
        <f t="shared" si="334"/>
        <v>1.570110393613118</v>
      </c>
      <c r="AJ390" t="str">
        <f t="shared" si="316"/>
        <v>1+4,98576333528949i</v>
      </c>
      <c r="AK390">
        <f t="shared" si="335"/>
        <v>5.0850600818001128</v>
      </c>
      <c r="AL390">
        <f t="shared" si="336"/>
        <v>1.3728516997254239</v>
      </c>
      <c r="AM390" t="str">
        <f t="shared" si="317"/>
        <v>1-0,414560486320728i</v>
      </c>
      <c r="AN390">
        <f t="shared" si="337"/>
        <v>1.0825250097889094</v>
      </c>
      <c r="AO390">
        <f t="shared" si="338"/>
        <v>-0.39299516348560276</v>
      </c>
      <c r="AP390" s="41" t="str">
        <f t="shared" si="339"/>
        <v>0,53725738002101-0,35992127513381i</v>
      </c>
      <c r="AQ390">
        <f t="shared" si="340"/>
        <v>-3.7862758538414676</v>
      </c>
      <c r="AR390" s="43">
        <f t="shared" si="341"/>
        <v>-33.819054868806774</v>
      </c>
      <c r="AS390" t="str">
        <f t="shared" si="318"/>
        <v>-0,0000166666666666667</v>
      </c>
      <c r="AT390" t="str">
        <f t="shared" si="319"/>
        <v>0,000505501004827962i</v>
      </c>
      <c r="AU390">
        <f t="shared" si="342"/>
        <v>5.0550100482796203E-4</v>
      </c>
      <c r="AV390">
        <f t="shared" si="343"/>
        <v>1.5707963267948966</v>
      </c>
      <c r="AW390" t="str">
        <f t="shared" si="320"/>
        <v>1+2,34242445395749i</v>
      </c>
      <c r="AX390">
        <f t="shared" si="344"/>
        <v>2.5469496112993766</v>
      </c>
      <c r="AY390">
        <f t="shared" si="345"/>
        <v>1.1673106025000779</v>
      </c>
      <c r="AZ390" t="str">
        <f t="shared" si="321"/>
        <v>1+108,816263270207i</v>
      </c>
      <c r="BA390">
        <f t="shared" si="346"/>
        <v>108.82085807459433</v>
      </c>
      <c r="BB390">
        <f t="shared" si="347"/>
        <v>1.5616067826904629</v>
      </c>
      <c r="BC390" s="41" t="str">
        <f t="shared" si="348"/>
        <v>-0,541164043189228+1,30060647894639i</v>
      </c>
      <c r="BD390">
        <f t="shared" si="349"/>
        <v>2.9763703899063962</v>
      </c>
      <c r="BE390" s="43">
        <f t="shared" si="350"/>
        <v>112.59150700303893</v>
      </c>
      <c r="BF390" s="41" t="str">
        <f t="shared" si="351"/>
        <v>0,342560165683433+0,270235665298293i</v>
      </c>
      <c r="BG390" s="20">
        <f t="shared" si="352"/>
        <v>-7.2039058117054875</v>
      </c>
      <c r="BH390" s="43">
        <f t="shared" si="353"/>
        <v>38.268872411417412</v>
      </c>
      <c r="BI390" s="41" t="str">
        <f t="shared" si="357"/>
        <v>0,177371566344258+0,893536881798324i</v>
      </c>
      <c r="BJ390" s="20">
        <f t="shared" si="354"/>
        <v>-0.80990546393506779</v>
      </c>
      <c r="BK390" s="43">
        <f t="shared" si="358"/>
        <v>78.772452134232182</v>
      </c>
      <c r="BL390">
        <f t="shared" si="355"/>
        <v>-7.2039058117054875</v>
      </c>
      <c r="BM390" s="43">
        <f t="shared" si="356"/>
        <v>38.268872411417412</v>
      </c>
    </row>
    <row r="391" spans="14:65" x14ac:dyDescent="0.25">
      <c r="N391" s="9">
        <v>73</v>
      </c>
      <c r="O391" s="34">
        <f t="shared" si="359"/>
        <v>53703.179637025423</v>
      </c>
      <c r="P391" s="33" t="str">
        <f t="shared" si="309"/>
        <v>54,631621870174</v>
      </c>
      <c r="Q391" s="4" t="str">
        <f t="shared" si="310"/>
        <v>1+1506,24056912322i</v>
      </c>
      <c r="R391" s="4">
        <f t="shared" si="322"/>
        <v>1506.2409010754693</v>
      </c>
      <c r="S391" s="4">
        <f t="shared" si="323"/>
        <v>1.5701324223206869</v>
      </c>
      <c r="T391" s="4" t="str">
        <f t="shared" si="311"/>
        <v>1+5,10189668217207i</v>
      </c>
      <c r="U391" s="4">
        <f t="shared" si="324"/>
        <v>5.1989758371777777</v>
      </c>
      <c r="V391" s="4">
        <f t="shared" si="325"/>
        <v>1.3772445302793512</v>
      </c>
      <c r="W391" t="str">
        <f t="shared" si="312"/>
        <v>1-1,34273648414111i</v>
      </c>
      <c r="X391" s="4">
        <f t="shared" si="326"/>
        <v>1.6741986936572462</v>
      </c>
      <c r="Y391" s="4">
        <f t="shared" si="327"/>
        <v>-0.93066512934162049</v>
      </c>
      <c r="Z391" t="str">
        <f t="shared" si="313"/>
        <v>0,988463873987493+0,184481132811072i</v>
      </c>
      <c r="AA391" s="4">
        <f t="shared" si="328"/>
        <v>1.0055317590914863</v>
      </c>
      <c r="AB391" s="4">
        <f t="shared" si="329"/>
        <v>0.18451139269797118</v>
      </c>
      <c r="AC391" s="47" t="str">
        <f t="shared" si="330"/>
        <v>0,081542406819389-0,30318919632124i</v>
      </c>
      <c r="AD391" s="20">
        <f t="shared" si="331"/>
        <v>-10.062426739995001</v>
      </c>
      <c r="AE391" s="43">
        <f t="shared" si="332"/>
        <v>-74.946570258089977</v>
      </c>
      <c r="AF391" t="str">
        <f t="shared" si="314"/>
        <v>171,265703090588</v>
      </c>
      <c r="AG391" t="str">
        <f t="shared" si="315"/>
        <v>1+1491,82582061326i</v>
      </c>
      <c r="AH391">
        <f t="shared" si="333"/>
        <v>1491.8261557729932</v>
      </c>
      <c r="AI391">
        <f t="shared" si="334"/>
        <v>1.5701260073538423</v>
      </c>
      <c r="AJ391" t="str">
        <f t="shared" si="316"/>
        <v>1+5,10189668217207i</v>
      </c>
      <c r="AK391">
        <f t="shared" si="335"/>
        <v>5.1989758371777777</v>
      </c>
      <c r="AL391">
        <f t="shared" si="336"/>
        <v>1.3772445302793512</v>
      </c>
      <c r="AM391" t="str">
        <f t="shared" si="317"/>
        <v>1-0,424216840528503i</v>
      </c>
      <c r="AN391">
        <f t="shared" si="337"/>
        <v>1.0862596042327937</v>
      </c>
      <c r="AO391">
        <f t="shared" si="338"/>
        <v>-0.40120711735447839</v>
      </c>
      <c r="AP391" s="41" t="str">
        <f t="shared" si="339"/>
        <v>0,537253764644665-0,362911406833987i</v>
      </c>
      <c r="AQ391">
        <f t="shared" si="340"/>
        <v>-3.7639277427553441</v>
      </c>
      <c r="AR391" s="43">
        <f t="shared" si="341"/>
        <v>-34.038769117639177</v>
      </c>
      <c r="AS391" t="str">
        <f t="shared" si="318"/>
        <v>-0,0000166666666666667</v>
      </c>
      <c r="AT391" t="str">
        <f t="shared" si="319"/>
        <v>0,000517275635831334i</v>
      </c>
      <c r="AU391">
        <f t="shared" si="342"/>
        <v>5.1727563583133396E-4</v>
      </c>
      <c r="AV391">
        <f t="shared" si="343"/>
        <v>1.5707963267948966</v>
      </c>
      <c r="AW391" t="str">
        <f t="shared" si="320"/>
        <v>1+2,39698652868178i</v>
      </c>
      <c r="AX391">
        <f t="shared" si="344"/>
        <v>2.5972185927799631</v>
      </c>
      <c r="AY391">
        <f t="shared" si="345"/>
        <v>1.1755589499060883</v>
      </c>
      <c r="AZ391" t="str">
        <f t="shared" si="321"/>
        <v>1+111,350919650581i</v>
      </c>
      <c r="BA391">
        <f t="shared" si="346"/>
        <v>111.35540986871786</v>
      </c>
      <c r="BB391">
        <f t="shared" si="347"/>
        <v>1.5618159508751512</v>
      </c>
      <c r="BC391" s="41" t="str">
        <f t="shared" si="348"/>
        <v>-0,520418387149949+1,2796559515859i</v>
      </c>
      <c r="BD391">
        <f t="shared" si="349"/>
        <v>2.8065908794814503</v>
      </c>
      <c r="BE391" s="43">
        <f t="shared" si="350"/>
        <v>112.13089596290776</v>
      </c>
      <c r="BF391" s="41" t="str">
        <f t="shared" si="351"/>
        <v>0,345541691687749+0,262131458743859i</v>
      </c>
      <c r="BG391" s="20">
        <f t="shared" si="352"/>
        <v>-7.2558358605135513</v>
      </c>
      <c r="BH391" s="43">
        <f t="shared" si="353"/>
        <v>37.184325704817844</v>
      </c>
      <c r="BI391" s="41" t="str">
        <f t="shared" si="357"/>
        <v>0,184805003966908+0,876365746462338i</v>
      </c>
      <c r="BJ391" s="20">
        <f t="shared" si="354"/>
        <v>-0.95733686327389855</v>
      </c>
      <c r="BK391" s="43">
        <f t="shared" si="358"/>
        <v>78.092126845268623</v>
      </c>
      <c r="BL391">
        <f t="shared" si="355"/>
        <v>-7.2558358605135513</v>
      </c>
      <c r="BM391" s="43">
        <f t="shared" si="356"/>
        <v>37.184325704817844</v>
      </c>
    </row>
    <row r="392" spans="14:65" x14ac:dyDescent="0.25">
      <c r="N392" s="9">
        <v>74</v>
      </c>
      <c r="O392" s="34">
        <f t="shared" si="359"/>
        <v>54954.087385762505</v>
      </c>
      <c r="P392" s="33" t="str">
        <f t="shared" si="309"/>
        <v>54,631621870174</v>
      </c>
      <c r="Q392" s="4" t="str">
        <f t="shared" si="310"/>
        <v>1+1541,32541907276i</v>
      </c>
      <c r="R392" s="4">
        <f t="shared" si="322"/>
        <v>1541.3257434688553</v>
      </c>
      <c r="S392" s="4">
        <f t="shared" si="323"/>
        <v>1.5701475346272498</v>
      </c>
      <c r="T392" s="4" t="str">
        <f t="shared" si="311"/>
        <v>1+5,22073512220709i</v>
      </c>
      <c r="U392" s="4">
        <f t="shared" si="324"/>
        <v>5.3156443839149619</v>
      </c>
      <c r="V392" s="4">
        <f t="shared" si="325"/>
        <v>1.3815446897612227</v>
      </c>
      <c r="W392" t="str">
        <f t="shared" si="312"/>
        <v>1-1,37401283470129i</v>
      </c>
      <c r="X392" s="4">
        <f t="shared" si="326"/>
        <v>1.6993855565832832</v>
      </c>
      <c r="Y392" s="4">
        <f t="shared" si="327"/>
        <v>-0.94165837412328335</v>
      </c>
      <c r="Z392" t="str">
        <f t="shared" si="313"/>
        <v>0,987920193118392+0,188778250413585i</v>
      </c>
      <c r="AA392" s="4">
        <f t="shared" si="328"/>
        <v>1.0057949770208117</v>
      </c>
      <c r="AB392" s="4">
        <f t="shared" si="329"/>
        <v>0.18881041872084628</v>
      </c>
      <c r="AC392" s="47" t="str">
        <f t="shared" si="330"/>
        <v>0,0792898493405926-0,308305036544904i</v>
      </c>
      <c r="AD392" s="20">
        <f t="shared" si="331"/>
        <v>-9.9422391799205307</v>
      </c>
      <c r="AE392" s="43">
        <f t="shared" si="332"/>
        <v>-75.577237716201509</v>
      </c>
      <c r="AF392" t="str">
        <f t="shared" si="314"/>
        <v>171,265703090588</v>
      </c>
      <c r="AG392" t="str">
        <f t="shared" si="315"/>
        <v>1+1526,57490793703i</v>
      </c>
      <c r="AH392">
        <f t="shared" si="333"/>
        <v>1526.5752354675976</v>
      </c>
      <c r="AI392">
        <f t="shared" si="334"/>
        <v>1.5701412656827523</v>
      </c>
      <c r="AJ392" t="str">
        <f t="shared" si="316"/>
        <v>1+5,22073512220709i</v>
      </c>
      <c r="AK392">
        <f t="shared" si="335"/>
        <v>5.3156443839149619</v>
      </c>
      <c r="AL392">
        <f t="shared" si="336"/>
        <v>1.3815446897612227</v>
      </c>
      <c r="AM392" t="str">
        <f t="shared" si="317"/>
        <v>1-0,434098120120299i</v>
      </c>
      <c r="AN392">
        <f t="shared" si="337"/>
        <v>1.0901564923862894</v>
      </c>
      <c r="AO392">
        <f t="shared" si="338"/>
        <v>-0.40955152962317265</v>
      </c>
      <c r="AP392" s="41" t="str">
        <f t="shared" si="339"/>
        <v>0,537250311986916-0,366093958747564i</v>
      </c>
      <c r="AQ392">
        <f t="shared" si="340"/>
        <v>-3.7400609305401016</v>
      </c>
      <c r="AR392" s="43">
        <f t="shared" si="341"/>
        <v>-34.271361971457139</v>
      </c>
      <c r="AS392" t="str">
        <f t="shared" si="318"/>
        <v>-0,0000166666666666667</v>
      </c>
      <c r="AT392" t="str">
        <f t="shared" si="319"/>
        <v>0,000529324533223775i</v>
      </c>
      <c r="AU392">
        <f t="shared" si="342"/>
        <v>5.2932453322377499E-4</v>
      </c>
      <c r="AV392">
        <f t="shared" si="343"/>
        <v>1.5707963267948966</v>
      </c>
      <c r="AW392" t="str">
        <f t="shared" si="320"/>
        <v>1+2,45281951739143i</v>
      </c>
      <c r="AX392">
        <f t="shared" si="344"/>
        <v>2.6488343823078724</v>
      </c>
      <c r="AY392">
        <f t="shared" si="345"/>
        <v>1.1836747685814204</v>
      </c>
      <c r="AZ392" t="str">
        <f t="shared" si="321"/>
        <v>1+113,944615762456i</v>
      </c>
      <c r="BA392">
        <f t="shared" si="346"/>
        <v>113.94900377473132</v>
      </c>
      <c r="BB392">
        <f t="shared" si="347"/>
        <v>1.5620203585700054</v>
      </c>
      <c r="BC392" s="41" t="str">
        <f t="shared" si="348"/>
        <v>-0,500334014579326+1,25871570573318i</v>
      </c>
      <c r="BD392">
        <f t="shared" si="349"/>
        <v>2.6356490804629074</v>
      </c>
      <c r="BE392" s="43">
        <f t="shared" si="350"/>
        <v>111.67760550373303</v>
      </c>
      <c r="BF392" s="41" t="str">
        <f t="shared" si="351"/>
        <v>0,348396983019744+0,254058875319759i</v>
      </c>
      <c r="BG392" s="20">
        <f t="shared" si="352"/>
        <v>-7.3065900994576278</v>
      </c>
      <c r="BH392" s="43">
        <f t="shared" si="353"/>
        <v>36.100367787531518</v>
      </c>
      <c r="BI392" s="41" t="str">
        <f t="shared" si="357"/>
        <v>0,192003610219185+0,859414665701389i</v>
      </c>
      <c r="BJ392" s="20">
        <f t="shared" si="354"/>
        <v>-1.1044118500771918</v>
      </c>
      <c r="BK392" s="43">
        <f t="shared" si="358"/>
        <v>77.40624353227588</v>
      </c>
      <c r="BL392">
        <f t="shared" si="355"/>
        <v>-7.3065900994576278</v>
      </c>
      <c r="BM392" s="43">
        <f t="shared" si="356"/>
        <v>36.100367787531518</v>
      </c>
    </row>
    <row r="393" spans="14:65" x14ac:dyDescent="0.25">
      <c r="N393" s="9">
        <v>75</v>
      </c>
      <c r="O393" s="34">
        <f t="shared" si="359"/>
        <v>56234.132519034953</v>
      </c>
      <c r="P393" s="33" t="str">
        <f t="shared" si="309"/>
        <v>54,631621870174</v>
      </c>
      <c r="Q393" s="4" t="str">
        <f t="shared" si="310"/>
        <v>1+1577,22750016135i</v>
      </c>
      <c r="R393" s="4">
        <f t="shared" si="322"/>
        <v>1577.2278171732901</v>
      </c>
      <c r="S393" s="4">
        <f t="shared" si="323"/>
        <v>1.5701623029360035</v>
      </c>
      <c r="T393" s="4" t="str">
        <f t="shared" si="311"/>
        <v>1+5,34234166510852i</v>
      </c>
      <c r="U393" s="4">
        <f t="shared" si="324"/>
        <v>5.435127824325245</v>
      </c>
      <c r="V393" s="4">
        <f t="shared" si="325"/>
        <v>1.3857538217391496</v>
      </c>
      <c r="W393" t="str">
        <f t="shared" si="312"/>
        <v>1-1,40601770505365i</v>
      </c>
      <c r="X393" s="4">
        <f t="shared" si="326"/>
        <v>1.7253654067832509</v>
      </c>
      <c r="Y393" s="4">
        <f t="shared" si="327"/>
        <v>-0.95257407654876147</v>
      </c>
      <c r="Z393" t="str">
        <f t="shared" si="313"/>
        <v>0,987350889359326+0,193175460743243i</v>
      </c>
      <c r="AA393" s="4">
        <f t="shared" si="328"/>
        <v>1.0060708411200556</v>
      </c>
      <c r="AB393" s="4">
        <f t="shared" si="329"/>
        <v>0.19320964296394788</v>
      </c>
      <c r="AC393" s="47" t="str">
        <f t="shared" si="330"/>
        <v>0,0769337079429038-0,31355810444286i</v>
      </c>
      <c r="AD393" s="20">
        <f t="shared" si="331"/>
        <v>-9.8197609531804328</v>
      </c>
      <c r="AE393" s="43">
        <f t="shared" si="332"/>
        <v>-76.214399041876831</v>
      </c>
      <c r="AF393" t="str">
        <f t="shared" si="314"/>
        <v>171,265703090588</v>
      </c>
      <c r="AG393" t="str">
        <f t="shared" si="315"/>
        <v>1+1562,1334054836i</v>
      </c>
      <c r="AH393">
        <f t="shared" si="333"/>
        <v>1562.1337255586634</v>
      </c>
      <c r="AI393">
        <f t="shared" si="334"/>
        <v>1.5701561766899874</v>
      </c>
      <c r="AJ393" t="str">
        <f t="shared" si="316"/>
        <v>1+5,34234166510852i</v>
      </c>
      <c r="AK393">
        <f t="shared" si="335"/>
        <v>5.435127824325245</v>
      </c>
      <c r="AL393">
        <f t="shared" si="336"/>
        <v>1.3857538217391496</v>
      </c>
      <c r="AM393" t="str">
        <f t="shared" si="317"/>
        <v>1-0,44420956428135i</v>
      </c>
      <c r="AN393">
        <f t="shared" si="337"/>
        <v>1.0942221607146452</v>
      </c>
      <c r="AO393">
        <f t="shared" si="338"/>
        <v>-0.41802817543918341</v>
      </c>
      <c r="AP393" s="41" t="str">
        <f t="shared" si="339"/>
        <v>0,537247014724233-0,369470618320253i</v>
      </c>
      <c r="AQ393">
        <f t="shared" si="340"/>
        <v>-3.7146507688728381</v>
      </c>
      <c r="AR393" s="43">
        <f t="shared" si="341"/>
        <v>-34.51672684117586</v>
      </c>
      <c r="AS393" t="str">
        <f t="shared" si="318"/>
        <v>-0,0000166666666666667</v>
      </c>
      <c r="AT393" t="str">
        <f t="shared" si="319"/>
        <v>0,00054165408549017i</v>
      </c>
      <c r="AU393">
        <f t="shared" si="342"/>
        <v>5.4165408549016998E-4</v>
      </c>
      <c r="AV393">
        <f t="shared" si="343"/>
        <v>1.5707963267948966</v>
      </c>
      <c r="AW393" t="str">
        <f t="shared" si="320"/>
        <v>1+2,50995302347611i</v>
      </c>
      <c r="AX393">
        <f t="shared" si="344"/>
        <v>2.7018260824962188</v>
      </c>
      <c r="AY393">
        <f t="shared" si="345"/>
        <v>1.1916580841074955</v>
      </c>
      <c r="AZ393" t="str">
        <f t="shared" si="321"/>
        <v>1+116,598726817845i</v>
      </c>
      <c r="BA393">
        <f t="shared" si="346"/>
        <v>116.60301495048252</v>
      </c>
      <c r="BB393">
        <f t="shared" si="347"/>
        <v>1.5622201140863263</v>
      </c>
      <c r="BC393" s="41" t="str">
        <f t="shared" si="348"/>
        <v>-0,480900090772846+1,23780658228145i</v>
      </c>
      <c r="BD393">
        <f t="shared" si="349"/>
        <v>2.4635823285747471</v>
      </c>
      <c r="BE393" s="43">
        <f t="shared" si="350"/>
        <v>111.23164036558732</v>
      </c>
      <c r="BF393" s="41" t="str">
        <f t="shared" si="351"/>
        <v>0,351126858473832+0,246019170980178i</v>
      </c>
      <c r="BG393" s="20">
        <f t="shared" si="352"/>
        <v>-7.3561786246056897</v>
      </c>
      <c r="BH393" s="43">
        <f t="shared" si="353"/>
        <v>35.017241323710536</v>
      </c>
      <c r="BI393" s="41" t="str">
        <f t="shared" si="357"/>
        <v>0,198971025168082+0,842686345024824i</v>
      </c>
      <c r="BJ393" s="20">
        <f t="shared" si="354"/>
        <v>-1.2510684402980896</v>
      </c>
      <c r="BK393" s="43">
        <f t="shared" si="358"/>
        <v>76.7149135244115</v>
      </c>
      <c r="BL393">
        <f t="shared" si="355"/>
        <v>-7.3561786246056897</v>
      </c>
      <c r="BM393" s="43">
        <f t="shared" si="356"/>
        <v>35.017241323710536</v>
      </c>
    </row>
    <row r="394" spans="14:65" x14ac:dyDescent="0.25">
      <c r="N394" s="9">
        <v>76</v>
      </c>
      <c r="O394" s="34">
        <f t="shared" si="359"/>
        <v>57543.993733715732</v>
      </c>
      <c r="P394" s="33" t="str">
        <f t="shared" si="309"/>
        <v>54,631621870174</v>
      </c>
      <c r="Q394" s="4" t="str">
        <f t="shared" si="310"/>
        <v>1+1613,96584814761i</v>
      </c>
      <c r="R394" s="4">
        <f t="shared" si="322"/>
        <v>1613.9661579434787</v>
      </c>
      <c r="S394" s="4">
        <f t="shared" si="323"/>
        <v>1.5701767350772757</v>
      </c>
      <c r="T394" s="4" t="str">
        <f t="shared" si="311"/>
        <v>1+5,46678078827505i</v>
      </c>
      <c r="U394" s="4">
        <f t="shared" si="324"/>
        <v>5.5574897379170363</v>
      </c>
      <c r="V394" s="4">
        <f t="shared" si="325"/>
        <v>1.3898735610822508</v>
      </c>
      <c r="W394" t="str">
        <f t="shared" si="312"/>
        <v>1-1,43876806460407i</v>
      </c>
      <c r="X394" s="4">
        <f t="shared" si="326"/>
        <v>1.7521568262357514</v>
      </c>
      <c r="Y394" s="4">
        <f t="shared" si="327"/>
        <v>-0.96340761941964836</v>
      </c>
      <c r="Z394" t="str">
        <f t="shared" si="313"/>
        <v>0,986754755140696+0,197675095259167i</v>
      </c>
      <c r="AA394" s="4">
        <f t="shared" si="328"/>
        <v>1.0063599704273296</v>
      </c>
      <c r="AB394" s="4">
        <f t="shared" si="329"/>
        <v>0.19771140068587117</v>
      </c>
      <c r="AC394" s="47" t="str">
        <f t="shared" si="330"/>
        <v>0,0744693356681732-0,318949330184994i</v>
      </c>
      <c r="AD394" s="20">
        <f t="shared" si="331"/>
        <v>-9.6950407920851216</v>
      </c>
      <c r="AE394" s="43">
        <f t="shared" si="332"/>
        <v>-76.857830267139875</v>
      </c>
      <c r="AF394" t="str">
        <f t="shared" si="314"/>
        <v>171,265703090588</v>
      </c>
      <c r="AG394" t="str">
        <f t="shared" si="315"/>
        <v>1+1598,52016683904i</v>
      </c>
      <c r="AH394">
        <f t="shared" si="333"/>
        <v>1598.5204796283069</v>
      </c>
      <c r="AI394">
        <f t="shared" si="334"/>
        <v>1.5701707482815346</v>
      </c>
      <c r="AJ394" t="str">
        <f t="shared" si="316"/>
        <v>1+5,46678078827505i</v>
      </c>
      <c r="AK394">
        <f t="shared" si="335"/>
        <v>5.5574897379170363</v>
      </c>
      <c r="AL394">
        <f t="shared" si="336"/>
        <v>1.3898735610822508</v>
      </c>
      <c r="AM394" t="str">
        <f t="shared" si="317"/>
        <v>1-0,454556534233193i</v>
      </c>
      <c r="AN394">
        <f t="shared" si="337"/>
        <v>1.0984633097259515</v>
      </c>
      <c r="AO394">
        <f t="shared" si="338"/>
        <v>-0.42663667556948354</v>
      </c>
      <c r="AP394" s="41" t="str">
        <f t="shared" si="339"/>
        <v>0,537243865862699-0,373043175915251i</v>
      </c>
      <c r="AQ394">
        <f t="shared" si="340"/>
        <v>-3.6876715601129062</v>
      </c>
      <c r="AR394" s="43">
        <f t="shared" si="341"/>
        <v>-34.774748780222659</v>
      </c>
      <c r="AS394" t="str">
        <f t="shared" si="318"/>
        <v>-0,0000166666666666667</v>
      </c>
      <c r="AT394" t="str">
        <f t="shared" si="319"/>
        <v>0,000554270829922331i</v>
      </c>
      <c r="AU394">
        <f t="shared" si="342"/>
        <v>5.5427082992233099E-4</v>
      </c>
      <c r="AV394">
        <f t="shared" si="343"/>
        <v>1.5707963267948966</v>
      </c>
      <c r="AW394" t="str">
        <f t="shared" si="320"/>
        <v>1+2,56841733987699i</v>
      </c>
      <c r="AX394">
        <f t="shared" si="344"/>
        <v>2.7562234364762213</v>
      </c>
      <c r="AY394">
        <f t="shared" si="345"/>
        <v>1.1995090578772032</v>
      </c>
      <c r="AZ394" t="str">
        <f t="shared" si="321"/>
        <v>1+119,314660061559i</v>
      </c>
      <c r="BA394">
        <f t="shared" si="346"/>
        <v>119.31885058784877</v>
      </c>
      <c r="BB394">
        <f t="shared" si="347"/>
        <v>1.5624153232733309</v>
      </c>
      <c r="BC394" s="41" t="str">
        <f t="shared" si="348"/>
        <v>-0,462105136944396+1,21694838256081i</v>
      </c>
      <c r="BD394">
        <f t="shared" si="349"/>
        <v>2.2904273250559664</v>
      </c>
      <c r="BE394" s="43">
        <f t="shared" si="350"/>
        <v>110.79299736605263</v>
      </c>
      <c r="BF394" s="41" t="str">
        <f t="shared" si="351"/>
        <v>0,353732208930383+0,238013461495221i</v>
      </c>
      <c r="BG394" s="20">
        <f t="shared" si="352"/>
        <v>-7.4046134670291579</v>
      </c>
      <c r="BH394" s="43">
        <f t="shared" si="353"/>
        <v>33.9351670989127</v>
      </c>
      <c r="BI394" s="41" t="str">
        <f t="shared" si="357"/>
        <v>0,205711139348393+0,826183221494818i</v>
      </c>
      <c r="BJ394" s="20">
        <f t="shared" si="354"/>
        <v>-1.3972442350569376</v>
      </c>
      <c r="BK394" s="43">
        <f t="shared" si="358"/>
        <v>76.018248585829994</v>
      </c>
      <c r="BL394">
        <f t="shared" si="355"/>
        <v>-7.4046134670291579</v>
      </c>
      <c r="BM394" s="43">
        <f t="shared" si="356"/>
        <v>33.9351670989127</v>
      </c>
    </row>
    <row r="395" spans="14:65" x14ac:dyDescent="0.25">
      <c r="N395" s="9">
        <v>77</v>
      </c>
      <c r="O395" s="34">
        <f t="shared" si="359"/>
        <v>58884.365535558936</v>
      </c>
      <c r="P395" s="33" t="str">
        <f t="shared" si="309"/>
        <v>54,631621870174</v>
      </c>
      <c r="Q395" s="4" t="str">
        <f t="shared" si="310"/>
        <v>1+1651,55994218991i</v>
      </c>
      <c r="R395" s="4">
        <f t="shared" si="322"/>
        <v>1651.5602449339651</v>
      </c>
      <c r="S395" s="4">
        <f t="shared" si="323"/>
        <v>1.5701908387031542</v>
      </c>
      <c r="T395" s="4" t="str">
        <f t="shared" si="311"/>
        <v>1+5,59411847097692i</v>
      </c>
      <c r="U395" s="4">
        <f t="shared" si="324"/>
        <v>5.6827952160292687</v>
      </c>
      <c r="V395" s="4">
        <f t="shared" si="325"/>
        <v>1.3939055324869634</v>
      </c>
      <c r="W395" t="str">
        <f t="shared" si="312"/>
        <v>1-1,47228127802668i</v>
      </c>
      <c r="X395" s="4">
        <f t="shared" si="326"/>
        <v>1.7797786833277545</v>
      </c>
      <c r="Y395" s="4">
        <f t="shared" si="327"/>
        <v>-0.97415457506417735</v>
      </c>
      <c r="Z395" t="str">
        <f t="shared" si="313"/>
        <v>0,986130525981899+0,202279539727136i</v>
      </c>
      <c r="AA395" s="4">
        <f t="shared" si="328"/>
        <v>1.0066630153460288</v>
      </c>
      <c r="AB395" s="4">
        <f t="shared" si="329"/>
        <v>0.20231808127304179</v>
      </c>
      <c r="AC395" s="47" t="str">
        <f t="shared" si="330"/>
        <v>0,0718918898849474-0,324479587220732i</v>
      </c>
      <c r="AD395" s="20">
        <f t="shared" si="331"/>
        <v>-9.5681286500535734</v>
      </c>
      <c r="AE395" s="43">
        <f t="shared" si="332"/>
        <v>-77.507321957026633</v>
      </c>
      <c r="AF395" t="str">
        <f t="shared" si="314"/>
        <v>171,265703090588</v>
      </c>
      <c r="AG395" t="str">
        <f t="shared" si="315"/>
        <v>1+1635,75448474585i</v>
      </c>
      <c r="AH395">
        <f t="shared" si="333"/>
        <v>1635.7547904151652</v>
      </c>
      <c r="AI395">
        <f t="shared" si="334"/>
        <v>1.5701849881834198</v>
      </c>
      <c r="AJ395" t="str">
        <f t="shared" si="316"/>
        <v>1+5,59411847097692i</v>
      </c>
      <c r="AK395">
        <f t="shared" si="335"/>
        <v>5.6827952160292687</v>
      </c>
      <c r="AL395">
        <f t="shared" si="336"/>
        <v>1.3939055324869634</v>
      </c>
      <c r="AM395" t="str">
        <f t="shared" si="317"/>
        <v>1-0,465144516076253i</v>
      </c>
      <c r="AN395">
        <f t="shared" si="337"/>
        <v>1.1028868576766211</v>
      </c>
      <c r="AO395">
        <f t="shared" si="338"/>
        <v>-0.43537648976379323</v>
      </c>
      <c r="AP395" s="41" t="str">
        <f t="shared" si="339"/>
        <v>0,537240858723171-0,376813525762565i</v>
      </c>
      <c r="AQ395">
        <f t="shared" si="340"/>
        <v>-3.6590966257367619</v>
      </c>
      <c r="AR395" s="43">
        <f t="shared" si="341"/>
        <v>-35.045304188956365</v>
      </c>
      <c r="AS395" t="str">
        <f t="shared" si="318"/>
        <v>-0,0000166666666666667</v>
      </c>
      <c r="AT395" t="str">
        <f t="shared" si="319"/>
        <v>0,000567181456085159i</v>
      </c>
      <c r="AU395">
        <f t="shared" si="342"/>
        <v>5.6718145608515905E-4</v>
      </c>
      <c r="AV395">
        <f t="shared" si="343"/>
        <v>1.5707963267948966</v>
      </c>
      <c r="AW395" t="str">
        <f t="shared" si="320"/>
        <v>1+2,6282434651485i</v>
      </c>
      <c r="AX395">
        <f t="shared" si="344"/>
        <v>2.8120568472375864</v>
      </c>
      <c r="AY395">
        <f t="shared" si="345"/>
        <v>1.2072279802171442</v>
      </c>
      <c r="AZ395" t="str">
        <f t="shared" si="321"/>
        <v>1+122,093855517353i</v>
      </c>
      <c r="BA395">
        <f t="shared" si="346"/>
        <v>122.09795065885534</v>
      </c>
      <c r="BB395">
        <f t="shared" si="347"/>
        <v>1.5626060895739693</v>
      </c>
      <c r="BC395" s="41" t="str">
        <f t="shared" si="348"/>
        <v>-0,443937106410963+1,19615986864451i</v>
      </c>
      <c r="BD395">
        <f t="shared" si="349"/>
        <v>2.116220102082111</v>
      </c>
      <c r="BE395" s="43">
        <f t="shared" si="350"/>
        <v>110.36166579748476</v>
      </c>
      <c r="BF395" s="41" t="str">
        <f t="shared" si="351"/>
        <v>0,356213982857837+0,23004272260158i</v>
      </c>
      <c r="BG395" s="20">
        <f t="shared" si="352"/>
        <v>-7.45190854797145</v>
      </c>
      <c r="BH395" s="43">
        <f t="shared" si="353"/>
        <v>32.854343840458135</v>
      </c>
      <c r="BI395" s="41" t="str">
        <f t="shared" si="357"/>
        <v>0,212228065212319+0,809907461284318i</v>
      </c>
      <c r="BJ395" s="20">
        <f t="shared" si="354"/>
        <v>-1.5428765236546482</v>
      </c>
      <c r="BK395" s="43">
        <f t="shared" si="358"/>
        <v>75.31636160852841</v>
      </c>
      <c r="BL395">
        <f t="shared" si="355"/>
        <v>-7.45190854797145</v>
      </c>
      <c r="BM395" s="43">
        <f t="shared" si="356"/>
        <v>32.854343840458135</v>
      </c>
    </row>
    <row r="396" spans="14:65" x14ac:dyDescent="0.25">
      <c r="N396" s="9">
        <v>78</v>
      </c>
      <c r="O396" s="34">
        <f t="shared" si="359"/>
        <v>60255.95860743591</v>
      </c>
      <c r="P396" s="33" t="str">
        <f t="shared" si="309"/>
        <v>54,631621870174</v>
      </c>
      <c r="Q396" s="4" t="str">
        <f t="shared" si="310"/>
        <v>1+1690,02971517454i</v>
      </c>
      <c r="R396" s="4">
        <f t="shared" si="322"/>
        <v>1690.0300110272999</v>
      </c>
      <c r="S396" s="4">
        <f t="shared" si="323"/>
        <v>1.5702046212915459</v>
      </c>
      <c r="T396" s="4" t="str">
        <f t="shared" si="311"/>
        <v>1+5,72442222933902i</v>
      </c>
      <c r="U396" s="4">
        <f t="shared" si="324"/>
        <v>5.8111108972167038</v>
      </c>
      <c r="V396" s="4">
        <f t="shared" si="325"/>
        <v>1.3978513491238915</v>
      </c>
      <c r="W396" t="str">
        <f t="shared" si="312"/>
        <v>1-1,50657511447086i</v>
      </c>
      <c r="X396" s="4">
        <f t="shared" si="326"/>
        <v>1.8082501418617074</v>
      </c>
      <c r="Y396" s="4">
        <f t="shared" si="327"/>
        <v>-0.98481071175777724</v>
      </c>
      <c r="Z396" t="str">
        <f t="shared" si="313"/>
        <v>0,985476877809196+0,206991235484555i</v>
      </c>
      <c r="AA396" s="4">
        <f t="shared" si="328"/>
        <v>1.0069806593296533</v>
      </c>
      <c r="AB396" s="4">
        <f t="shared" si="329"/>
        <v>0.20703212943804353</v>
      </c>
      <c r="AC396" s="47" t="str">
        <f t="shared" si="330"/>
        <v>0,0691963252928634-0,330149683787877i</v>
      </c>
      <c r="AD396" s="20">
        <f t="shared" si="331"/>
        <v>-9.4390756201129928</v>
      </c>
      <c r="AE396" s="43">
        <f t="shared" si="332"/>
        <v>-78.162679723877531</v>
      </c>
      <c r="AF396" t="str">
        <f t="shared" si="314"/>
        <v>171,265703090588</v>
      </c>
      <c r="AG396" t="str">
        <f t="shared" si="315"/>
        <v>1+1673,85610133225i</v>
      </c>
      <c r="AH396">
        <f t="shared" si="333"/>
        <v>1673.8564000436836</v>
      </c>
      <c r="AI396">
        <f t="shared" si="334"/>
        <v>1.5701989039458042</v>
      </c>
      <c r="AJ396" t="str">
        <f t="shared" si="316"/>
        <v>1+5,72442222933902i</v>
      </c>
      <c r="AK396">
        <f t="shared" si="335"/>
        <v>5.8111108972167038</v>
      </c>
      <c r="AL396">
        <f t="shared" si="336"/>
        <v>1.3978513491238915</v>
      </c>
      <c r="AM396" t="str">
        <f t="shared" si="317"/>
        <v>1-0,475979123698654i</v>
      </c>
      <c r="AN396">
        <f t="shared" si="337"/>
        <v>1.1074999441069686</v>
      </c>
      <c r="AO396">
        <f t="shared" si="338"/>
        <v>-0.44424691027943225</v>
      </c>
      <c r="AP396" s="41" t="str">
        <f t="shared" si="339"/>
        <v>0,537237986927117-0,38078366696343i</v>
      </c>
      <c r="AQ396">
        <f t="shared" si="340"/>
        <v>-3.6288983794468361</v>
      </c>
      <c r="AR396" s="43">
        <f t="shared" si="341"/>
        <v>-35.328260521433585</v>
      </c>
      <c r="AS396" t="str">
        <f t="shared" si="318"/>
        <v>-0,0000166666666666667</v>
      </c>
      <c r="AT396" t="str">
        <f t="shared" si="319"/>
        <v>0,000580392809363539i</v>
      </c>
      <c r="AU396">
        <f t="shared" si="342"/>
        <v>5.8039280936353897E-4</v>
      </c>
      <c r="AV396">
        <f t="shared" si="343"/>
        <v>1.5707963267948966</v>
      </c>
      <c r="AW396" t="str">
        <f t="shared" si="320"/>
        <v>1+2,68946311989416i</v>
      </c>
      <c r="AX396">
        <f t="shared" si="344"/>
        <v>2.8693573972704804</v>
      </c>
      <c r="AY396">
        <f t="shared" si="345"/>
        <v>1.2148152635291587</v>
      </c>
      <c r="AZ396" t="str">
        <f t="shared" si="321"/>
        <v>1+124,937786751447i</v>
      </c>
      <c r="BA396">
        <f t="shared" si="346"/>
        <v>124.9417886791687</v>
      </c>
      <c r="BB396">
        <f t="shared" si="347"/>
        <v>1.5627925140794887</v>
      </c>
      <c r="BC396" s="41" t="str">
        <f t="shared" si="348"/>
        <v>-0,426383457738489+1,17545876845291i</v>
      </c>
      <c r="BD396">
        <f t="shared" si="349"/>
        <v>1.9409959924461524</v>
      </c>
      <c r="BE396" s="43">
        <f t="shared" si="350"/>
        <v>109.93762782310039</v>
      </c>
      <c r="BF396" s="41" t="str">
        <f t="shared" si="351"/>
        <v>0,358573172269247+0,22210779105496i</v>
      </c>
      <c r="BG396" s="20">
        <f t="shared" si="352"/>
        <v>-7.49807962766684</v>
      </c>
      <c r="BH396" s="43">
        <f t="shared" si="353"/>
        <v>31.774948099222886</v>
      </c>
      <c r="BI396" s="41" t="str">
        <f t="shared" si="357"/>
        <v>0,218526109721367+0,793860959049678i</v>
      </c>
      <c r="BJ396" s="20">
        <f t="shared" si="354"/>
        <v>-1.6879023870006851</v>
      </c>
      <c r="BK396" s="43">
        <f t="shared" si="358"/>
        <v>74.609367301666822</v>
      </c>
      <c r="BL396">
        <f t="shared" si="355"/>
        <v>-7.49807962766684</v>
      </c>
      <c r="BM396" s="43">
        <f t="shared" si="356"/>
        <v>31.774948099222886</v>
      </c>
    </row>
    <row r="397" spans="14:65" x14ac:dyDescent="0.25">
      <c r="N397" s="9">
        <v>79</v>
      </c>
      <c r="O397" s="34">
        <f t="shared" si="359"/>
        <v>61659.500186148245</v>
      </c>
      <c r="P397" s="33" t="str">
        <f t="shared" si="309"/>
        <v>54,631621870174</v>
      </c>
      <c r="Q397" s="4" t="str">
        <f t="shared" si="310"/>
        <v>1+1729,39556428435i</v>
      </c>
      <c r="R397" s="4">
        <f t="shared" si="322"/>
        <v>1729.3958534026808</v>
      </c>
      <c r="S397" s="4">
        <f t="shared" si="323"/>
        <v>1.5702180901501408</v>
      </c>
      <c r="T397" s="4" t="str">
        <f t="shared" si="311"/>
        <v>1+5,85776115213878i</v>
      </c>
      <c r="U397" s="4">
        <f t="shared" si="324"/>
        <v>5.942505003406076</v>
      </c>
      <c r="V397" s="4">
        <f t="shared" si="325"/>
        <v>1.4017126113990275</v>
      </c>
      <c r="W397" t="str">
        <f t="shared" si="312"/>
        <v>1-1,54166775698261i</v>
      </c>
      <c r="X397" s="4">
        <f t="shared" si="326"/>
        <v>1.8375906706662917</v>
      </c>
      <c r="Y397" s="4">
        <f t="shared" si="327"/>
        <v>-0.99537199914993091</v>
      </c>
      <c r="Z397" t="str">
        <f t="shared" si="313"/>
        <v>0,984792424147177+0,21181268073488i</v>
      </c>
      <c r="AA397" s="4">
        <f t="shared" si="328"/>
        <v>1.0073136206652671</v>
      </c>
      <c r="AB397" s="4">
        <f t="shared" si="329"/>
        <v>0.2118560464362638</v>
      </c>
      <c r="AC397" s="47" t="str">
        <f t="shared" si="330"/>
        <v>0,0663773868134629-0,335960353790045i</v>
      </c>
      <c r="AD397" s="20">
        <f t="shared" si="331"/>
        <v>-9.307933852080442</v>
      </c>
      <c r="AE397" s="43">
        <f t="shared" si="332"/>
        <v>-78.823724679186085</v>
      </c>
      <c r="AF397" t="str">
        <f t="shared" si="314"/>
        <v>171,265703090588</v>
      </c>
      <c r="AG397" t="str">
        <f t="shared" si="315"/>
        <v>1+1712,84521857967i</v>
      </c>
      <c r="AH397">
        <f t="shared" si="333"/>
        <v>1712.8455104916022</v>
      </c>
      <c r="AI397">
        <f t="shared" si="334"/>
        <v>1.570212502946988</v>
      </c>
      <c r="AJ397" t="str">
        <f t="shared" si="316"/>
        <v>1+5,85776115213878i</v>
      </c>
      <c r="AK397">
        <f t="shared" si="335"/>
        <v>5.942505003406076</v>
      </c>
      <c r="AL397">
        <f t="shared" si="336"/>
        <v>1.4017126113990275</v>
      </c>
      <c r="AM397" t="str">
        <f t="shared" si="317"/>
        <v>1-0,487066101752766i</v>
      </c>
      <c r="AN397">
        <f t="shared" si="337"/>
        <v>1.1123099331915705</v>
      </c>
      <c r="AO397">
        <f t="shared" si="338"/>
        <v>-0.45324705561383755</v>
      </c>
      <c r="AP397" s="41" t="str">
        <f t="shared" si="339"/>
        <v>0,537235244383088-0,384955704550309i</v>
      </c>
      <c r="AQ397">
        <f t="shared" si="340"/>
        <v>-3.5970484049848772</v>
      </c>
      <c r="AR397" s="43">
        <f t="shared" si="341"/>
        <v>-35.623475997514383</v>
      </c>
      <c r="AS397" t="str">
        <f t="shared" si="318"/>
        <v>-0,0000166666666666667</v>
      </c>
      <c r="AT397" t="str">
        <f t="shared" si="319"/>
        <v>0,000593911894591848i</v>
      </c>
      <c r="AU397">
        <f t="shared" si="342"/>
        <v>5.93911894591848E-4</v>
      </c>
      <c r="AV397">
        <f t="shared" si="343"/>
        <v>1.5707963267948966</v>
      </c>
      <c r="AW397" t="str">
        <f t="shared" si="320"/>
        <v>1+2,75210876358522i</v>
      </c>
      <c r="AX397">
        <f t="shared" si="344"/>
        <v>2.9281568685100479</v>
      </c>
      <c r="AY397">
        <f t="shared" si="345"/>
        <v>1.2222714354811224</v>
      </c>
      <c r="AZ397" t="str">
        <f t="shared" si="321"/>
        <v>1+127,847961653823i</v>
      </c>
      <c r="BA397">
        <f t="shared" si="346"/>
        <v>127.85187248936714</v>
      </c>
      <c r="BB397">
        <f t="shared" si="347"/>
        <v>1.5629746955827681</v>
      </c>
      <c r="BC397" s="41" t="str">
        <f t="shared" si="348"/>
        <v>-0,409431224643643+1,15486178520966i</v>
      </c>
      <c r="BD397">
        <f t="shared" si="349"/>
        <v>1.7647896033158434</v>
      </c>
      <c r="BE397" s="43">
        <f t="shared" si="350"/>
        <v>109.52085887017213</v>
      </c>
      <c r="BF397" s="41" t="str">
        <f t="shared" si="351"/>
        <v>0,360810799165959+0,214209366516918i</v>
      </c>
      <c r="BG397" s="20">
        <f t="shared" si="352"/>
        <v>-7.5431442487646034</v>
      </c>
      <c r="BH397" s="43">
        <f t="shared" si="353"/>
        <v>30.697134190986127</v>
      </c>
      <c r="BI397" s="41" t="str">
        <f t="shared" si="357"/>
        <v>0,224609748154118+0,77804533895339i</v>
      </c>
      <c r="BJ397" s="20">
        <f t="shared" si="354"/>
        <v>-1.8322588016690369</v>
      </c>
      <c r="BK397" s="43">
        <f t="shared" si="358"/>
        <v>73.897382872657715</v>
      </c>
      <c r="BL397">
        <f t="shared" si="355"/>
        <v>-7.5431442487646034</v>
      </c>
      <c r="BM397" s="43">
        <f t="shared" si="356"/>
        <v>30.697134190986127</v>
      </c>
    </row>
    <row r="398" spans="14:65" x14ac:dyDescent="0.25">
      <c r="N398" s="9">
        <v>80</v>
      </c>
      <c r="O398" s="34">
        <f t="shared" si="359"/>
        <v>63095.734448019342</v>
      </c>
      <c r="P398" s="33" t="str">
        <f t="shared" si="309"/>
        <v>54,631621870174</v>
      </c>
      <c r="Q398" s="4" t="str">
        <f t="shared" si="310"/>
        <v>1+1769,67836181359i</v>
      </c>
      <c r="R398" s="4">
        <f t="shared" si="322"/>
        <v>1769.6786443507847</v>
      </c>
      <c r="S398" s="4">
        <f t="shared" si="323"/>
        <v>1.5702312524202862</v>
      </c>
      <c r="T398" s="4" t="str">
        <f t="shared" si="311"/>
        <v>1+5,99420593743804i</v>
      </c>
      <c r="U398" s="4">
        <f t="shared" si="324"/>
        <v>6.0770473768448978</v>
      </c>
      <c r="V398" s="4">
        <f t="shared" si="325"/>
        <v>1.4054909058233411</v>
      </c>
      <c r="W398" t="str">
        <f t="shared" si="312"/>
        <v>1-1,57757781214549i</v>
      </c>
      <c r="X398" s="4">
        <f t="shared" si="326"/>
        <v>1.8678200537990137</v>
      </c>
      <c r="Y398" s="4">
        <f t="shared" si="327"/>
        <v>-1.0058346127033992</v>
      </c>
      <c r="Z398" t="str">
        <f t="shared" si="313"/>
        <v>0,98407571317786+0,216746431872203i</v>
      </c>
      <c r="AA398" s="4">
        <f t="shared" si="328"/>
        <v>1.0076626543619871</v>
      </c>
      <c r="AB398" s="4">
        <f t="shared" si="329"/>
        <v>0.21679239130001987</v>
      </c>
      <c r="AC398" s="47" t="str">
        <f t="shared" si="330"/>
        <v>0,0634296023827594-0,3419122470009i</v>
      </c>
      <c r="AD398" s="20">
        <f t="shared" si="331"/>
        <v>-9.1747564691846719</v>
      </c>
      <c r="AE398" s="43">
        <f t="shared" si="332"/>
        <v>-79.490293823647633</v>
      </c>
      <c r="AF398" t="str">
        <f t="shared" si="314"/>
        <v>171,265703090588</v>
      </c>
      <c r="AG398" t="str">
        <f t="shared" si="315"/>
        <v>1+1752,74250903417i</v>
      </c>
      <c r="AH398">
        <f t="shared" si="333"/>
        <v>1752.7427943013765</v>
      </c>
      <c r="AI398">
        <f t="shared" si="334"/>
        <v>1.5702257923973211</v>
      </c>
      <c r="AJ398" t="str">
        <f t="shared" si="316"/>
        <v>1+5,99420593743804i</v>
      </c>
      <c r="AK398">
        <f t="shared" si="335"/>
        <v>6.0770473768448978</v>
      </c>
      <c r="AL398">
        <f t="shared" si="336"/>
        <v>1.4054909058233411</v>
      </c>
      <c r="AM398" t="str">
        <f t="shared" si="317"/>
        <v>1-0,498411328701109i</v>
      </c>
      <c r="AN398">
        <f t="shared" si="337"/>
        <v>1.1173244168895644</v>
      </c>
      <c r="AO398">
        <f t="shared" si="338"/>
        <v>-0.46237586449327051</v>
      </c>
      <c r="AP398" s="41" t="str">
        <f t="shared" si="339"/>
        <v>0,53723262527379-0,389331850603065i</v>
      </c>
      <c r="AQ398">
        <f t="shared" si="340"/>
        <v>-3.5635175386518014</v>
      </c>
      <c r="AR398" s="43">
        <f t="shared" si="341"/>
        <v>-35.930799323432645</v>
      </c>
      <c r="AS398" t="str">
        <f t="shared" si="318"/>
        <v>-0,0000166666666666667</v>
      </c>
      <c r="AT398" t="str">
        <f t="shared" si="319"/>
        <v>0,000607745879768024i</v>
      </c>
      <c r="AU398">
        <f t="shared" si="342"/>
        <v>6.0774587976802398E-4</v>
      </c>
      <c r="AV398">
        <f t="shared" si="343"/>
        <v>1.5707963267948966</v>
      </c>
      <c r="AW398" t="str">
        <f t="shared" si="320"/>
        <v>1+2,8162136117712i</v>
      </c>
      <c r="AX398">
        <f t="shared" si="344"/>
        <v>2.988487762585851</v>
      </c>
      <c r="AY398">
        <f t="shared" si="345"/>
        <v>1.2295971322741066</v>
      </c>
      <c r="AZ398" t="str">
        <f t="shared" si="321"/>
        <v>1+130,825923237735i</v>
      </c>
      <c r="BA398">
        <f t="shared" si="346"/>
        <v>130.82974505442456</v>
      </c>
      <c r="BB398">
        <f t="shared" si="347"/>
        <v>1.5631527306304507</v>
      </c>
      <c r="BC398" s="41" t="str">
        <f t="shared" si="348"/>
        <v>-0,393067082493949+1,13438461081282i</v>
      </c>
      <c r="BD398">
        <f t="shared" si="349"/>
        <v>1.5876347938813609</v>
      </c>
      <c r="BE398" s="43">
        <f t="shared" si="350"/>
        <v>109.11132801877942</v>
      </c>
      <c r="BF398" s="41" t="str">
        <f t="shared" si="351"/>
        <v>0,36292790249391+0,206348014210573i</v>
      </c>
      <c r="BG398" s="20">
        <f t="shared" si="352"/>
        <v>-7.5871216753033135</v>
      </c>
      <c r="BH398" s="43">
        <f t="shared" si="353"/>
        <v>29.621034195131845</v>
      </c>
      <c r="BI398" s="41" t="str">
        <f t="shared" si="357"/>
        <v>0,230483599186459+0,762461957175675i</v>
      </c>
      <c r="BJ398" s="20">
        <f t="shared" si="354"/>
        <v>-1.9758827447704366</v>
      </c>
      <c r="BK398" s="43">
        <f t="shared" si="358"/>
        <v>73.180528695346794</v>
      </c>
      <c r="BL398">
        <f t="shared" si="355"/>
        <v>-7.5871216753033135</v>
      </c>
      <c r="BM398" s="43">
        <f t="shared" si="356"/>
        <v>29.621034195131845</v>
      </c>
    </row>
    <row r="399" spans="14:65" x14ac:dyDescent="0.25">
      <c r="N399" s="9">
        <v>81</v>
      </c>
      <c r="O399" s="34">
        <f t="shared" si="359"/>
        <v>64565.422903465682</v>
      </c>
      <c r="P399" s="33" t="str">
        <f t="shared" si="309"/>
        <v>54,631621870174</v>
      </c>
      <c r="Q399" s="4" t="str">
        <f t="shared" si="310"/>
        <v>1+1810,89946623474i</v>
      </c>
      <c r="R399" s="4">
        <f t="shared" si="322"/>
        <v>1810.899742340604</v>
      </c>
      <c r="S399" s="4">
        <f t="shared" si="323"/>
        <v>1.5702441150807736</v>
      </c>
      <c r="T399" s="4" t="str">
        <f t="shared" si="311"/>
        <v>1+6,13382893006805i</v>
      </c>
      <c r="U399" s="4">
        <f t="shared" si="324"/>
        <v>6.2148095178645475</v>
      </c>
      <c r="V399" s="4">
        <f t="shared" si="325"/>
        <v>1.4091878039848775</v>
      </c>
      <c r="W399" t="str">
        <f t="shared" si="312"/>
        <v>1-1,61432431994608i</v>
      </c>
      <c r="X399" s="4">
        <f t="shared" si="326"/>
        <v>1.8989584013267309</v>
      </c>
      <c r="Y399" s="4">
        <f t="shared" si="327"/>
        <v>-1.0161949371596746</v>
      </c>
      <c r="Z399" t="str">
        <f t="shared" si="313"/>
        <v>0,983325224661187+0,221795104836684i</v>
      </c>
      <c r="AA399" s="4">
        <f t="shared" si="328"/>
        <v>1.0080285541513641</v>
      </c>
      <c r="AB399" s="4">
        <f t="shared" si="329"/>
        <v>0.22184378208911948</v>
      </c>
      <c r="AC399" s="47" t="str">
        <f t="shared" si="330"/>
        <v>0,0603472756635803-0,348005918550918i</v>
      </c>
      <c r="AD399" s="20">
        <f t="shared" si="331"/>
        <v>-9.0395974848718641</v>
      </c>
      <c r="AE399" s="43">
        <f t="shared" si="332"/>
        <v>-80.162240376478536</v>
      </c>
      <c r="AF399" t="str">
        <f t="shared" si="314"/>
        <v>171,265703090588</v>
      </c>
      <c r="AG399" t="str">
        <f t="shared" si="315"/>
        <v>1+1793,56912676726i</v>
      </c>
      <c r="AH399">
        <f t="shared" si="333"/>
        <v>1793.5694055409933</v>
      </c>
      <c r="AI399">
        <f t="shared" si="334"/>
        <v>1.5702387793430275</v>
      </c>
      <c r="AJ399" t="str">
        <f t="shared" si="316"/>
        <v>1+6,13382893006805i</v>
      </c>
      <c r="AK399">
        <f t="shared" si="335"/>
        <v>6.2148095178645475</v>
      </c>
      <c r="AL399">
        <f t="shared" si="336"/>
        <v>1.4091878039848775</v>
      </c>
      <c r="AM399" t="str">
        <f t="shared" si="317"/>
        <v>1-0,510020819933186i</v>
      </c>
      <c r="AN399">
        <f t="shared" si="337"/>
        <v>1.1225512178806449</v>
      </c>
      <c r="AO399">
        <f t="shared" si="338"/>
        <v>-0.47163209016829349</v>
      </c>
      <c r="AP399" s="41" t="str">
        <f t="shared" si="339"/>
        <v>0,537230124043752-0,393914425421883i</v>
      </c>
      <c r="AQ399">
        <f t="shared" si="340"/>
        <v>-3.5282759565046944</v>
      </c>
      <c r="AR399" s="43">
        <f t="shared" si="341"/>
        <v>-36.250069424064144</v>
      </c>
      <c r="AS399" t="str">
        <f t="shared" si="318"/>
        <v>-0,0000166666666666667</v>
      </c>
      <c r="AT399" t="str">
        <f t="shared" si="319"/>
        <v>0,000621902099854121i</v>
      </c>
      <c r="AU399">
        <f t="shared" si="342"/>
        <v>6.2190209985412098E-4</v>
      </c>
      <c r="AV399">
        <f t="shared" si="343"/>
        <v>1.5707963267948966</v>
      </c>
      <c r="AW399" t="str">
        <f t="shared" si="320"/>
        <v>1+2,88181165369115i</v>
      </c>
      <c r="AX399">
        <f t="shared" si="344"/>
        <v>3.0503833213794822</v>
      </c>
      <c r="AY399">
        <f t="shared" si="345"/>
        <v>1.2367930920101093</v>
      </c>
      <c r="AZ399" t="str">
        <f t="shared" si="321"/>
        <v>1+133,873250457834i</v>
      </c>
      <c r="BA399">
        <f t="shared" si="346"/>
        <v>133.87698528180991</v>
      </c>
      <c r="BB399">
        <f t="shared" si="347"/>
        <v>1.5633267135739053</v>
      </c>
      <c r="BC399" s="41" t="str">
        <f t="shared" si="348"/>
        <v>-0,377277411292361+1,11404194269405i</v>
      </c>
      <c r="BD399">
        <f t="shared" si="349"/>
        <v>1.409564656694857</v>
      </c>
      <c r="BE399" s="43">
        <f t="shared" si="350"/>
        <v>108.70899838472752</v>
      </c>
      <c r="BF399" s="41" t="str">
        <f t="shared" si="351"/>
        <v>0,36492552563059+0,198524168281859i</v>
      </c>
      <c r="BG399" s="20">
        <f t="shared" si="352"/>
        <v>-7.630032828177006</v>
      </c>
      <c r="BH399" s="43">
        <f t="shared" si="353"/>
        <v>28.546758008248993</v>
      </c>
      <c r="BI399" s="41" t="str">
        <f t="shared" si="357"/>
        <v>0,236152401284704+0,747111905757353i</v>
      </c>
      <c r="BJ399" s="20">
        <f t="shared" si="354"/>
        <v>-2.1187112998098359</v>
      </c>
      <c r="BK399" s="43">
        <f t="shared" si="358"/>
        <v>72.4589289606634</v>
      </c>
      <c r="BL399">
        <f t="shared" si="355"/>
        <v>-7.630032828177006</v>
      </c>
      <c r="BM399" s="43">
        <f t="shared" si="356"/>
        <v>28.546758008248993</v>
      </c>
    </row>
    <row r="400" spans="14:65" x14ac:dyDescent="0.25">
      <c r="N400" s="9">
        <v>82</v>
      </c>
      <c r="O400" s="34">
        <f t="shared" si="359"/>
        <v>66069.344800759733</v>
      </c>
      <c r="P400" s="33" t="str">
        <f t="shared" si="309"/>
        <v>54,631621870174</v>
      </c>
      <c r="Q400" s="4" t="str">
        <f t="shared" si="310"/>
        <v>1+1853,08073352297i</v>
      </c>
      <c r="R400" s="4">
        <f t="shared" si="322"/>
        <v>1853.0810033438981</v>
      </c>
      <c r="S400" s="4">
        <f t="shared" si="323"/>
        <v>1.5702566849515389</v>
      </c>
      <c r="T400" s="4" t="str">
        <f t="shared" si="311"/>
        <v>1+6,2767041599876i</v>
      </c>
      <c r="U400" s="4">
        <f t="shared" si="324"/>
        <v>6.3558646234800857</v>
      </c>
      <c r="V400" s="4">
        <f t="shared" si="325"/>
        <v>1.4128048616176891</v>
      </c>
      <c r="W400" t="str">
        <f t="shared" si="312"/>
        <v>1-1,65192676386922i</v>
      </c>
      <c r="X400" s="4">
        <f t="shared" si="326"/>
        <v>1.9310261606688384</v>
      </c>
      <c r="Y400" s="4">
        <f t="shared" si="327"/>
        <v>-1.026449569051922</v>
      </c>
      <c r="Z400" t="str">
        <f t="shared" si="313"/>
        <v>0,982539366710393+0,226961376501554i</v>
      </c>
      <c r="AA400" s="4">
        <f t="shared" si="328"/>
        <v>1.008412154607004</v>
      </c>
      <c r="AB400" s="4">
        <f t="shared" si="329"/>
        <v>0.22701289715662493</v>
      </c>
      <c r="AC400" s="47" t="str">
        <f t="shared" si="330"/>
        <v>0,0571244786987295-0,354241817650327i</v>
      </c>
      <c r="AD400" s="20">
        <f t="shared" si="331"/>
        <v>-8.9025117205066646</v>
      </c>
      <c r="AE400" s="43">
        <f t="shared" si="332"/>
        <v>-80.839434045478399</v>
      </c>
      <c r="AF400" t="str">
        <f t="shared" si="314"/>
        <v>171,265703090588</v>
      </c>
      <c r="AG400" t="str">
        <f t="shared" si="315"/>
        <v>1+1835,34671859205i</v>
      </c>
      <c r="AH400">
        <f t="shared" si="333"/>
        <v>1835.346991020119</v>
      </c>
      <c r="AI400">
        <f t="shared" si="334"/>
        <v>1.57025147066994</v>
      </c>
      <c r="AJ400" t="str">
        <f t="shared" si="316"/>
        <v>1+6,2767041599876i</v>
      </c>
      <c r="AK400">
        <f t="shared" si="335"/>
        <v>6.3558646234800857</v>
      </c>
      <c r="AL400">
        <f t="shared" si="336"/>
        <v>1.4128048616176891</v>
      </c>
      <c r="AM400" t="str">
        <f t="shared" si="317"/>
        <v>1-0,521900730954914i</v>
      </c>
      <c r="AN400">
        <f t="shared" si="337"/>
        <v>1.127998392273355</v>
      </c>
      <c r="AO400">
        <f t="shared" si="338"/>
        <v>-0.48101429506844873</v>
      </c>
      <c r="AP400" s="41" t="str">
        <f t="shared" si="339"/>
        <v>0,537227735387544-0,398705858757571i</v>
      </c>
      <c r="AQ400">
        <f t="shared" si="340"/>
        <v>-3.4912932661668181</v>
      </c>
      <c r="AR400" s="43">
        <f t="shared" si="341"/>
        <v>-36.581115190222846</v>
      </c>
      <c r="AS400" t="str">
        <f t="shared" si="318"/>
        <v>-0,0000166666666666667</v>
      </c>
      <c r="AT400" t="str">
        <f t="shared" si="319"/>
        <v>0,000636388060665408i</v>
      </c>
      <c r="AU400">
        <f t="shared" si="342"/>
        <v>6.3638806066540802E-4</v>
      </c>
      <c r="AV400">
        <f t="shared" si="343"/>
        <v>1.5707963267948966</v>
      </c>
      <c r="AW400" t="str">
        <f t="shared" si="320"/>
        <v>1+2,94893767029517i</v>
      </c>
      <c r="AX400">
        <f t="shared" si="344"/>
        <v>3.1138775478952132</v>
      </c>
      <c r="AY400">
        <f t="shared" si="345"/>
        <v>1.2438601481818718</v>
      </c>
      <c r="AZ400" t="str">
        <f t="shared" si="321"/>
        <v>1+136,991559047348i</v>
      </c>
      <c r="BA400">
        <f t="shared" si="346"/>
        <v>136.99520885864234</v>
      </c>
      <c r="BB400">
        <f t="shared" si="347"/>
        <v>1.5634967366190349</v>
      </c>
      <c r="BC400" s="41" t="str">
        <f t="shared" si="348"/>
        <v>-0,362048355072609+1,09384750375321i</v>
      </c>
      <c r="BD400">
        <f t="shared" si="349"/>
        <v>1.2306115024975597</v>
      </c>
      <c r="BE400" s="43">
        <f t="shared" si="350"/>
        <v>108.31382749540956</v>
      </c>
      <c r="BF400" s="41" t="str">
        <f t="shared" si="351"/>
        <v>0,366804704414555+0,190738135806041i</v>
      </c>
      <c r="BG400" s="20">
        <f t="shared" si="352"/>
        <v>-7.6719002180090943</v>
      </c>
      <c r="BH400" s="43">
        <f t="shared" si="353"/>
        <v>27.474393449931195</v>
      </c>
      <c r="BI400" s="41" t="str">
        <f t="shared" si="357"/>
        <v>0,241620990437306+0,731996017621646i</v>
      </c>
      <c r="BJ400" s="20">
        <f t="shared" si="354"/>
        <v>-2.2606817636692522</v>
      </c>
      <c r="BK400" s="43">
        <f t="shared" si="358"/>
        <v>71.732712305186723</v>
      </c>
      <c r="BL400">
        <f t="shared" si="355"/>
        <v>-7.6719002180090943</v>
      </c>
      <c r="BM400" s="43">
        <f t="shared" si="356"/>
        <v>27.474393449931195</v>
      </c>
    </row>
    <row r="401" spans="14:65" x14ac:dyDescent="0.25">
      <c r="N401" s="9">
        <v>83</v>
      </c>
      <c r="O401" s="34">
        <f t="shared" si="359"/>
        <v>67608.297539198305</v>
      </c>
      <c r="P401" s="33" t="str">
        <f t="shared" si="309"/>
        <v>54,631621870174</v>
      </c>
      <c r="Q401" s="4" t="str">
        <f t="shared" si="310"/>
        <v>1+1896,24452874453i</v>
      </c>
      <c r="R401" s="4">
        <f t="shared" si="322"/>
        <v>1896.2447924235846</v>
      </c>
      <c r="S401" s="4">
        <f t="shared" si="323"/>
        <v>1.5702689686972784</v>
      </c>
      <c r="T401" s="4" t="str">
        <f t="shared" si="311"/>
        <v>1+6,42290738153477i</v>
      </c>
      <c r="U401" s="4">
        <f t="shared" si="324"/>
        <v>6.5002876268495875</v>
      </c>
      <c r="V401" s="4">
        <f t="shared" si="325"/>
        <v>1.4163436177621176</v>
      </c>
      <c r="W401" t="str">
        <f t="shared" si="312"/>
        <v>1-1,6904050812284i</v>
      </c>
      <c r="X401" s="4">
        <f t="shared" si="326"/>
        <v>1.9640441284866268</v>
      </c>
      <c r="Y401" s="4">
        <f t="shared" si="327"/>
        <v>-1.0365953182933489</v>
      </c>
      <c r="Z401" t="str">
        <f t="shared" si="313"/>
        <v>0,981716472415405+0,232247986092434i</v>
      </c>
      <c r="AA401" s="4">
        <f t="shared" si="328"/>
        <v>1.0088143333913027</v>
      </c>
      <c r="AB401" s="4">
        <f t="shared" si="329"/>
        <v>0.23230247642837004</v>
      </c>
      <c r="AC401" s="47" t="str">
        <f t="shared" si="330"/>
        <v>0,0537550445293097-0,360620275499262i</v>
      </c>
      <c r="AD401" s="20">
        <f t="shared" si="331"/>
        <v>-8.763554724653746</v>
      </c>
      <c r="AE401" s="43">
        <f t="shared" si="332"/>
        <v>-81.52176123966683</v>
      </c>
      <c r="AF401" t="str">
        <f t="shared" si="314"/>
        <v>171,265703090588</v>
      </c>
      <c r="AG401" t="str">
        <f t="shared" si="315"/>
        <v>1+1878,09743554072i</v>
      </c>
      <c r="AH401">
        <f t="shared" si="333"/>
        <v>1878.0977017675702</v>
      </c>
      <c r="AI401">
        <f t="shared" si="334"/>
        <v>1.5702638731071519</v>
      </c>
      <c r="AJ401" t="str">
        <f t="shared" si="316"/>
        <v>1+6,42290738153477i</v>
      </c>
      <c r="AK401">
        <f t="shared" si="335"/>
        <v>6.5002876268495875</v>
      </c>
      <c r="AL401">
        <f t="shared" si="336"/>
        <v>1.4163436177621176</v>
      </c>
      <c r="AM401" t="str">
        <f t="shared" si="317"/>
        <v>1-0,534057360652366i</v>
      </c>
      <c r="AN401">
        <f t="shared" si="337"/>
        <v>1.1336742320732933</v>
      </c>
      <c r="AO401">
        <f t="shared" si="338"/>
        <v>-0.49052084587001499</v>
      </c>
      <c r="AP401" s="41" t="str">
        <f t="shared" si="339"/>
        <v>0,537225454238513-0,403708691099883i</v>
      </c>
      <c r="AQ401">
        <f t="shared" si="340"/>
        <v>-3.4525386031479877</v>
      </c>
      <c r="AR401" s="43">
        <f t="shared" si="341"/>
        <v>-36.923755244385369</v>
      </c>
      <c r="AS401" t="str">
        <f t="shared" si="318"/>
        <v>-0,0000166666666666667</v>
      </c>
      <c r="AT401" t="str">
        <f t="shared" si="319"/>
        <v>0,000651211442850052i</v>
      </c>
      <c r="AU401">
        <f t="shared" si="342"/>
        <v>6.5121144285005205E-4</v>
      </c>
      <c r="AV401">
        <f t="shared" si="343"/>
        <v>1.5707963267948966</v>
      </c>
      <c r="AW401" t="str">
        <f t="shared" si="320"/>
        <v>1+3,01762725268578i</v>
      </c>
      <c r="AX401">
        <f t="shared" si="344"/>
        <v>3.1790052274496072</v>
      </c>
      <c r="AY401">
        <f t="shared" si="345"/>
        <v>1.2507992233036251</v>
      </c>
      <c r="AZ401" t="str">
        <f t="shared" si="321"/>
        <v>1+140,182502374767i</v>
      </c>
      <c r="BA401">
        <f t="shared" si="346"/>
        <v>140.18606910835169</v>
      </c>
      <c r="BB401">
        <f t="shared" si="347"/>
        <v>1.5636628898749665</v>
      </c>
      <c r="BC401" s="41" t="str">
        <f t="shared" si="348"/>
        <v>-0,347365877667991+1,07381406497333i</v>
      </c>
      <c r="BD401">
        <f t="shared" si="349"/>
        <v>1.0508068483313764</v>
      </c>
      <c r="BE401" s="43">
        <f t="shared" si="350"/>
        <v>107.92576765752601</v>
      </c>
      <c r="BF401" s="41" t="str">
        <f t="shared" si="351"/>
        <v>0,368566455723659+0,182990101382514i</v>
      </c>
      <c r="BG401" s="20">
        <f t="shared" si="352"/>
        <v>-7.7127478763223758</v>
      </c>
      <c r="BH401" s="43">
        <f t="shared" si="353"/>
        <v>26.404006417859161</v>
      </c>
      <c r="BI401" s="41" t="str">
        <f t="shared" si="357"/>
        <v>0,246894279237882+0,717114872629108i</v>
      </c>
      <c r="BJ401" s="20">
        <f t="shared" si="354"/>
        <v>-2.4017317548166099</v>
      </c>
      <c r="BK401" s="43">
        <f t="shared" si="358"/>
        <v>71.002012413140619</v>
      </c>
      <c r="BL401">
        <f t="shared" si="355"/>
        <v>-7.7127478763223758</v>
      </c>
      <c r="BM401" s="43">
        <f t="shared" si="356"/>
        <v>26.404006417859161</v>
      </c>
    </row>
    <row r="402" spans="14:65" x14ac:dyDescent="0.25">
      <c r="N402" s="9">
        <v>84</v>
      </c>
      <c r="O402" s="34">
        <f t="shared" si="359"/>
        <v>69183.097091893651</v>
      </c>
      <c r="P402" s="33" t="str">
        <f t="shared" si="309"/>
        <v>54,631621870174</v>
      </c>
      <c r="Q402" s="4" t="str">
        <f t="shared" si="310"/>
        <v>1+1940,41373791499i</v>
      </c>
      <c r="R402" s="4">
        <f t="shared" si="322"/>
        <v>1940.4139955919775</v>
      </c>
      <c r="S402" s="4">
        <f t="shared" si="323"/>
        <v>1.5702809728309814</v>
      </c>
      <c r="T402" s="4" t="str">
        <f t="shared" si="311"/>
        <v>1+6,57251611359283i</v>
      </c>
      <c r="U402" s="4">
        <f t="shared" si="324"/>
        <v>6.6481552376157245</v>
      </c>
      <c r="V402" s="4">
        <f t="shared" si="325"/>
        <v>1.4198055940111118</v>
      </c>
      <c r="W402" t="str">
        <f t="shared" si="312"/>
        <v>1-1,7297796737368i</v>
      </c>
      <c r="X402" s="4">
        <f t="shared" si="326"/>
        <v>1.9980334631014043</v>
      </c>
      <c r="Y402" s="4">
        <f t="shared" si="327"/>
        <v>-1.0466292088749383</v>
      </c>
      <c r="Z402" t="str">
        <f t="shared" si="313"/>
        <v>0,980854796307094+0,237657736639705i</v>
      </c>
      <c r="AA402" s="4">
        <f t="shared" si="328"/>
        <v>1.0092360136377112</v>
      </c>
      <c r="AB402" s="4">
        <f t="shared" si="329"/>
        <v>0.2377153226945001</v>
      </c>
      <c r="AC402" s="47" t="str">
        <f t="shared" si="330"/>
        <v>0,0502325598062631-0,367141492333941i</v>
      </c>
      <c r="AD402" s="20">
        <f t="shared" si="331"/>
        <v>-8.6227826945836288</v>
      </c>
      <c r="AE402" s="43">
        <f t="shared" si="332"/>
        <v>-82.20912522664635</v>
      </c>
      <c r="AF402" t="str">
        <f t="shared" si="314"/>
        <v>171,265703090588</v>
      </c>
      <c r="AG402" t="str">
        <f t="shared" si="315"/>
        <v>1+1921,84394460927i</v>
      </c>
      <c r="AH402">
        <f t="shared" si="333"/>
        <v>1921.8442047760582</v>
      </c>
      <c r="AI402">
        <f t="shared" si="334"/>
        <v>1.5702759932305841</v>
      </c>
      <c r="AJ402" t="str">
        <f t="shared" si="316"/>
        <v>1+6,57251611359283i</v>
      </c>
      <c r="AK402">
        <f t="shared" si="335"/>
        <v>6.6481552376157245</v>
      </c>
      <c r="AL402">
        <f t="shared" si="336"/>
        <v>1.4198055940111118</v>
      </c>
      <c r="AM402" t="str">
        <f t="shared" si="317"/>
        <v>1-0,54649715463152i</v>
      </c>
      <c r="AN402">
        <f t="shared" si="337"/>
        <v>1.1395872674000651</v>
      </c>
      <c r="AO402">
        <f t="shared" si="338"/>
        <v>-0.50014990903167522</v>
      </c>
      <c r="AP402" s="41" t="str">
        <f t="shared" si="339"/>
        <v>0,53722327575804-0,408925575024571i</v>
      </c>
      <c r="AQ402">
        <f t="shared" si="340"/>
        <v>-3.4119807315303987</v>
      </c>
      <c r="AR402" s="43">
        <f t="shared" si="341"/>
        <v>-37.277797728291439</v>
      </c>
      <c r="AS402" t="str">
        <f t="shared" si="318"/>
        <v>-0,0000166666666666667</v>
      </c>
      <c r="AT402" t="str">
        <f t="shared" si="319"/>
        <v>0,000666380105961495i</v>
      </c>
      <c r="AU402">
        <f t="shared" si="342"/>
        <v>6.6638010596149495E-4</v>
      </c>
      <c r="AV402">
        <f t="shared" si="343"/>
        <v>1.5707963267948966</v>
      </c>
      <c r="AW402" t="str">
        <f t="shared" si="320"/>
        <v>1+3,08791682098877i</v>
      </c>
      <c r="AX402">
        <f t="shared" si="344"/>
        <v>3.245801949186887</v>
      </c>
      <c r="AY402">
        <f t="shared" si="345"/>
        <v>1.2576113226990522</v>
      </c>
      <c r="AZ402" t="str">
        <f t="shared" si="321"/>
        <v>1+143,447772320478i</v>
      </c>
      <c r="BA402">
        <f t="shared" si="346"/>
        <v>143.45125786728985</v>
      </c>
      <c r="BB402">
        <f t="shared" si="347"/>
        <v>1.5638252614016384</v>
      </c>
      <c r="BC402" s="41" t="str">
        <f t="shared" si="348"/>
        <v>-0,333215814848982+1,05395347033917i</v>
      </c>
      <c r="BD402">
        <f t="shared" si="349"/>
        <v>0.87018140872524263</v>
      </c>
      <c r="BE402" s="43">
        <f t="shared" si="350"/>
        <v>107.5447663157358</v>
      </c>
      <c r="BF402" s="41" t="str">
        <f t="shared" si="351"/>
        <v>0,370211766603065+0,175280132264756i</v>
      </c>
      <c r="BG402" s="20">
        <f t="shared" si="352"/>
        <v>-7.7526012858583826</v>
      </c>
      <c r="BH402" s="43">
        <f t="shared" si="353"/>
        <v>25.335641089089396</v>
      </c>
      <c r="BI402" s="41" t="str">
        <f t="shared" si="357"/>
        <v>0,251977237320033+0,702468804526564i</v>
      </c>
      <c r="BJ402" s="20">
        <f t="shared" si="354"/>
        <v>-2.5417993228051534</v>
      </c>
      <c r="BK402" s="43">
        <f t="shared" si="358"/>
        <v>70.266968587444339</v>
      </c>
      <c r="BL402">
        <f t="shared" si="355"/>
        <v>-7.7526012858583826</v>
      </c>
      <c r="BM402" s="43">
        <f t="shared" si="356"/>
        <v>25.335641089089396</v>
      </c>
    </row>
    <row r="403" spans="14:65" x14ac:dyDescent="0.25">
      <c r="N403" s="9">
        <v>85</v>
      </c>
      <c r="O403" s="34">
        <f t="shared" si="359"/>
        <v>70794.578438413781</v>
      </c>
      <c r="P403" s="33" t="str">
        <f t="shared" ref="P403:P466" si="360">COMPLEX(Adc,0)</f>
        <v>54,631621870174</v>
      </c>
      <c r="Q403" s="4" t="str">
        <f t="shared" ref="Q403:Q466" si="361">IMSUM(COMPLEX(1,0),IMDIV(COMPLEX(0,2*PI()*O403),COMPLEX(wp_lf,0)))</f>
        <v>1+1985,61178013371i</v>
      </c>
      <c r="R403" s="4">
        <f t="shared" si="322"/>
        <v>1985.6120319452541</v>
      </c>
      <c r="S403" s="4">
        <f t="shared" si="323"/>
        <v>1.5702927037173848</v>
      </c>
      <c r="T403" s="4" t="str">
        <f t="shared" ref="T403:T466" si="362">IMSUM(COMPLEX(1,0),IMDIV(COMPLEX(0,2*PI()*O403),COMPLEX(wz_esr,0)))</f>
        <v>1+6,72560968069188i</v>
      </c>
      <c r="U403" s="4">
        <f t="shared" si="324"/>
        <v>6.7995459831533127</v>
      </c>
      <c r="V403" s="4">
        <f t="shared" si="325"/>
        <v>1.4231922938374877</v>
      </c>
      <c r="W403" t="str">
        <f t="shared" ref="W403:W466" si="363">IMSUB(COMPLEX(1,0),IMDIV(COMPLEX(0,2*PI()*O403),COMPLEX(wz_rhp,0)))</f>
        <v>1-1,77007141832455i</v>
      </c>
      <c r="X403" s="4">
        <f t="shared" si="326"/>
        <v>2.0330156974232847</v>
      </c>
      <c r="Y403" s="4">
        <f t="shared" si="327"/>
        <v>-1.0565484787117096</v>
      </c>
      <c r="Z403" t="str">
        <f t="shared" ref="Z403:Z466" si="364">IMSUM(COMPLEX(1,0),IMDIV(COMPLEX(0,2*PI()*O403),COMPLEX(Q*(wsl/2),0)),IMDIV(IMPOWER(COMPLEX(0,2*PI()*O403),2),IMPOWER(COMPLEX(wsl/2,0),2)))</f>
        <v>0,979952510654909+0,243193496464715i</v>
      </c>
      <c r="AA403" s="4">
        <f t="shared" si="328"/>
        <v>1.0096781664776122</v>
      </c>
      <c r="AB403" s="4">
        <f t="shared" si="329"/>
        <v>0.24325430291104078</v>
      </c>
      <c r="AC403" s="47" t="str">
        <f t="shared" si="330"/>
        <v>0,0465503574273024-0,373805523555067i</v>
      </c>
      <c r="AD403" s="20">
        <f t="shared" si="331"/>
        <v>-8.4802524006094657</v>
      </c>
      <c r="AE403" s="43">
        <f t="shared" si="332"/>
        <v>-82.901446237110804</v>
      </c>
      <c r="AF403" t="str">
        <f t="shared" ref="AF403:AF466" si="365">COMPLEX($B$72,0)</f>
        <v>171,265703090588</v>
      </c>
      <c r="AG403" t="str">
        <f t="shared" ref="AG403:AG466" si="366">IMSUM(COMPLEX(1,0),IMDIV(COMPLEX(0,2*PI()*O403),COMPLEX(wp_lf_DCM,0)))</f>
        <v>1+1966,60944077587i</v>
      </c>
      <c r="AH403">
        <f t="shared" si="333"/>
        <v>1966.6096950205394</v>
      </c>
      <c r="AI403">
        <f t="shared" si="334"/>
        <v>1.5702878374664724</v>
      </c>
      <c r="AJ403" t="str">
        <f t="shared" ref="AJ403:AJ466" si="367">IMSUM(COMPLEX(1,0),IMDIV(COMPLEX(0,2*PI()*O403),COMPLEX(wz1_dcm,0)))</f>
        <v>1+6,72560968069188i</v>
      </c>
      <c r="AK403">
        <f t="shared" si="335"/>
        <v>6.7995459831533127</v>
      </c>
      <c r="AL403">
        <f t="shared" si="336"/>
        <v>1.4231922938374877</v>
      </c>
      <c r="AM403" t="str">
        <f t="shared" ref="AM403:AM466" si="368">IMSUB(COMPLEX(1,0),IMDIV(COMPLEX(0,2*PI()*O403),COMPLEX(wz2_dcm,0)))</f>
        <v>1-0,559226708635806i</v>
      </c>
      <c r="AN403">
        <f t="shared" si="337"/>
        <v>1.145746268443252</v>
      </c>
      <c r="AO403">
        <f t="shared" si="338"/>
        <v>-0.50989944685349253</v>
      </c>
      <c r="AP403" s="41" t="str">
        <f t="shared" si="339"/>
        <v>0,537221195325288-0,414359276599845i</v>
      </c>
      <c r="AQ403">
        <f t="shared" si="340"/>
        <v>-3.3695881488313133</v>
      </c>
      <c r="AR403" s="43">
        <f t="shared" si="341"/>
        <v>-37.643040115883721</v>
      </c>
      <c r="AS403" t="str">
        <f t="shared" ref="AS403:AS466" si="369">COMPLEX(Adc_ea,0)</f>
        <v>-0,0000166666666666667</v>
      </c>
      <c r="AT403" t="str">
        <f t="shared" ref="AT403:AT466" si="370">COMPLEX(0,2*PI()*O403*wp0_ea)</f>
        <v>0,000681902092625704i</v>
      </c>
      <c r="AU403">
        <f t="shared" si="342"/>
        <v>6.8190209262570405E-4</v>
      </c>
      <c r="AV403">
        <f t="shared" si="343"/>
        <v>1.5707963267948966</v>
      </c>
      <c r="AW403" t="str">
        <f t="shared" ref="AW403:AW466" si="371">IMSUM(COMPLEX(1,0),IMDIV(COMPLEX(0,2*PI()*O403),COMPLEX(wp1_ea,0)))</f>
        <v>1+3,15984364366367i</v>
      </c>
      <c r="AX403">
        <f t="shared" si="344"/>
        <v>3.3143041279281684</v>
      </c>
      <c r="AY403">
        <f t="shared" si="345"/>
        <v>1.2642975284603921</v>
      </c>
      <c r="AZ403" t="str">
        <f t="shared" ref="AZ403:AZ466" si="372">IMSUM(COMPLEX(1,0),IMDIV(COMPLEX(0,2*PI()*O403),COMPLEX(wz_ea,0)))</f>
        <v>1+146,789100173831i</v>
      </c>
      <c r="BA403">
        <f t="shared" si="346"/>
        <v>146.79250638177345</v>
      </c>
      <c r="BB403">
        <f t="shared" si="347"/>
        <v>1.5639839372563169</v>
      </c>
      <c r="BC403" s="41" t="str">
        <f t="shared" si="348"/>
        <v>-0,319583922853974+1,03427666370403i</v>
      </c>
      <c r="BD403">
        <f t="shared" si="349"/>
        <v>0.68876508975247619</v>
      </c>
      <c r="BE403" s="43">
        <f t="shared" si="350"/>
        <v>107.1707664014387</v>
      </c>
      <c r="BF403" s="41" t="str">
        <f t="shared" si="351"/>
        <v>0,371741583939801+0,167608183976352i</v>
      </c>
      <c r="BG403" s="20">
        <f t="shared" si="352"/>
        <v>-7.79148731085699</v>
      </c>
      <c r="BH403" s="43">
        <f t="shared" si="353"/>
        <v>24.269320164327841</v>
      </c>
      <c r="BI403" s="41" t="str">
        <f t="shared" si="357"/>
        <v>0,256874873134146+0,688057908658843i</v>
      </c>
      <c r="BJ403" s="20">
        <f t="shared" si="354"/>
        <v>-2.6808230590788416</v>
      </c>
      <c r="BK403" s="43">
        <f t="shared" si="358"/>
        <v>69.527726285555019</v>
      </c>
      <c r="BL403">
        <f t="shared" si="355"/>
        <v>-7.79148731085699</v>
      </c>
      <c r="BM403" s="43">
        <f t="shared" si="356"/>
        <v>24.269320164327841</v>
      </c>
    </row>
    <row r="404" spans="14:65" x14ac:dyDescent="0.25">
      <c r="N404" s="9">
        <v>86</v>
      </c>
      <c r="O404" s="34">
        <f t="shared" si="359"/>
        <v>72443.596007499116</v>
      </c>
      <c r="P404" s="33" t="str">
        <f t="shared" si="360"/>
        <v>54,631621870174</v>
      </c>
      <c r="Q404" s="4" t="str">
        <f t="shared" si="361"/>
        <v>1+2031,86262000095i</v>
      </c>
      <c r="R404" s="4">
        <f t="shared" ref="R404:R467" si="373">IMABS(Q404)</f>
        <v>2031.8628660805643</v>
      </c>
      <c r="S404" s="4">
        <f t="shared" ref="S404:S467" si="374">IMARGUMENT(Q404)</f>
        <v>1.5703041675763469</v>
      </c>
      <c r="T404" s="4" t="str">
        <f t="shared" si="362"/>
        <v>1+6,88226925506761i</v>
      </c>
      <c r="U404" s="4">
        <f t="shared" ref="U404:U467" si="375">IMABS(T404)</f>
        <v>6.9545402507461898</v>
      </c>
      <c r="V404" s="4">
        <f t="shared" ref="V404:V467" si="376">IMARGUMENT(T404)</f>
        <v>1.4265052019972124</v>
      </c>
      <c r="W404" t="str">
        <f t="shared" si="363"/>
        <v>1-1,81130167820797i</v>
      </c>
      <c r="X404" s="4">
        <f t="shared" ref="X404:X467" si="377">IMABS(W404)</f>
        <v>2.0690127523722537</v>
      </c>
      <c r="Y404" s="4">
        <f t="shared" ref="Y404:Y467" si="378">IMARGUMENT(W404)</f>
        <v>-1.0663505786812071</v>
      </c>
      <c r="Z404" t="str">
        <f t="shared" si="364"/>
        <v>0,979007701590009+0,248858200700598i</v>
      </c>
      <c r="AA404" s="4">
        <f t="shared" ref="AA404:AA467" si="379">IMABS(Z404)</f>
        <v>1.0101418137214651</v>
      </c>
      <c r="AB404" s="4">
        <f t="shared" ref="AB404:AB467" si="380">IMARGUMENT(Z404)</f>
        <v>0.24892234950916603</v>
      </c>
      <c r="AC404" s="47" t="str">
        <f t="shared" ref="AC404:AC467" si="381">(IMDIV(IMPRODUCT(P404,T404,W404),IMPRODUCT(Q404,Z404)))</f>
        <v>0,0427015092359307-0,380612264882296i</v>
      </c>
      <c r="AD404" s="20">
        <f t="shared" ref="AD404:AD467" si="382">20*LOG(IMABS(AC404))</f>
        <v>-8.3360211138155513</v>
      </c>
      <c r="AE404" s="43">
        <f t="shared" ref="AE404:AE467" si="383">(180/PI())*IMARGUMENT(AC404)</f>
        <v>-83.598661519153225</v>
      </c>
      <c r="AF404" t="str">
        <f t="shared" si="365"/>
        <v>171,265703090588</v>
      </c>
      <c r="AG404" t="str">
        <f t="shared" si="366"/>
        <v>1+2012,41765929912i</v>
      </c>
      <c r="AH404">
        <f t="shared" ref="AH404:AH467" si="384">IMABS(AG404)</f>
        <v>2012.4179077564752</v>
      </c>
      <c r="AI404">
        <f t="shared" ref="AI404:AI467" si="385">IMARGUMENT(AG404)</f>
        <v>1.570299412094774</v>
      </c>
      <c r="AJ404" t="str">
        <f t="shared" si="367"/>
        <v>1+6,88226925506761i</v>
      </c>
      <c r="AK404">
        <f t="shared" ref="AK404:AK467" si="386">IMABS(AJ404)</f>
        <v>6.9545402507461898</v>
      </c>
      <c r="AL404">
        <f t="shared" ref="AL404:AL467" si="387">IMARGUMENT(AJ404)</f>
        <v>1.4265052019972124</v>
      </c>
      <c r="AM404" t="str">
        <f t="shared" si="368"/>
        <v>1-0,572252772043252i</v>
      </c>
      <c r="AN404">
        <f t="shared" ref="AN404:AN467" si="388">IMABS(AM404)</f>
        <v>1.1521602471493217</v>
      </c>
      <c r="AO404">
        <f t="shared" ref="AO404:AO467" si="389">IMARGUMENT(AM404)</f>
        <v>-0.5197672141145413</v>
      </c>
      <c r="AP404" s="41" t="str">
        <f t="shared" ref="AP404:AP467" si="390">(IMDIV(IMPRODUCT(AF404,AJ404,AM404),IMPRODUCT(AG404)))</f>
        <v>0,537219208527393-0,420012676853018i</v>
      </c>
      <c r="AQ404">
        <f t="shared" ref="AQ404:AQ467" si="391">20*LOG(IMABS(AP404))</f>
        <v>-3.3253291948066197</v>
      </c>
      <c r="AR404" s="43">
        <f t="shared" ref="AR404:AR467" si="392">(180/PI())*IMARGUMENT(AP404)</f>
        <v>-38.019269055043488</v>
      </c>
      <c r="AS404" t="str">
        <f t="shared" si="369"/>
        <v>-0,0000166666666666667</v>
      </c>
      <c r="AT404" t="str">
        <f t="shared" si="370"/>
        <v>0,000697785632805466i</v>
      </c>
      <c r="AU404">
        <f t="shared" ref="AU404:AU467" si="393">IMABS(AT404)</f>
        <v>6.9778563280546604E-4</v>
      </c>
      <c r="AV404">
        <f t="shared" ref="AV404:AV467" si="394">IMARGUMENT(AT404)</f>
        <v>1.5707963267948966</v>
      </c>
      <c r="AW404" t="str">
        <f t="shared" si="371"/>
        <v>1+3,23344585726393i</v>
      </c>
      <c r="AX404">
        <f t="shared" ref="AX404:AX467" si="395">IMABS(AW404)</f>
        <v>3.3845490263633753</v>
      </c>
      <c r="AY404">
        <f t="shared" ref="AY404:AY467" si="396">IMARGUMENT(AW404)</f>
        <v>1.2708589935903158</v>
      </c>
      <c r="AZ404" t="str">
        <f t="shared" si="372"/>
        <v>1+150,208257551079i</v>
      </c>
      <c r="BA404">
        <f t="shared" ref="BA404:BA467" si="397">IMABS(AZ404)</f>
        <v>150.21158622600083</v>
      </c>
      <c r="BB404">
        <f t="shared" ref="BB404:BB467" si="398">IMARGUMENT(AZ404)</f>
        <v>1.5641390015390613</v>
      </c>
      <c r="BC404" s="41" t="str">
        <f t="shared" ref="BC404:BC467" si="399">IMPRODUCT(AS404,IMDIV(AZ404,IMPRODUCT(AT404,AW404)))</f>
        <v>-0,306455923362782+1,01479371727058i</v>
      </c>
      <c r="BD404">
        <f t="shared" ref="BD404:BD467" si="400">20*LOG(IMABS(BC404))</f>
        <v>0.50658698575210592</v>
      </c>
      <c r="BE404" s="43">
        <f t="shared" ref="BE404:BE467" si="401">(180/PI())*IMARGUMENT(BC404)</f>
        <v>106.80370667102643</v>
      </c>
      <c r="BF404" s="41" t="str">
        <f t="shared" ref="BF404:BF467" si="402">IMPRODUCT(AC404,BC404)</f>
        <v>0,373156804676798+0,159974106368298i</v>
      </c>
      <c r="BG404" s="20">
        <f t="shared" ref="BG404:BG467" si="403">20*LOG(IMABS(BF404))</f>
        <v>-7.8294341280634496</v>
      </c>
      <c r="BH404" s="43">
        <f t="shared" ref="BH404:BH467" si="404">(180/PI())*IMARGUMENT(BF404)</f>
        <v>23.20504515187325</v>
      </c>
      <c r="BI404" s="41" t="str">
        <f t="shared" si="357"/>
        <v>0,261592217046956+0,673882050319737i</v>
      </c>
      <c r="BJ404" s="20">
        <f t="shared" ref="BJ404:BJ467" si="405">20*LOG(IMABS(BI404))</f>
        <v>-2.8187422090545162</v>
      </c>
      <c r="BK404" s="43">
        <f t="shared" si="358"/>
        <v>68.784437615982938</v>
      </c>
      <c r="BL404">
        <f t="shared" ref="BL404:BL467" si="406">IF($B$31=0,BJ404,BG404)</f>
        <v>-7.8294341280634496</v>
      </c>
      <c r="BM404" s="43">
        <f t="shared" ref="BM404:BM467" si="407">IF($B$31=0,BK404,BH404)</f>
        <v>23.20504515187325</v>
      </c>
    </row>
    <row r="405" spans="14:65" x14ac:dyDescent="0.25">
      <c r="N405" s="9">
        <v>87</v>
      </c>
      <c r="O405" s="34">
        <f t="shared" si="359"/>
        <v>74131.024130091857</v>
      </c>
      <c r="P405" s="33" t="str">
        <f t="shared" si="360"/>
        <v>54,631621870174</v>
      </c>
      <c r="Q405" s="4" t="str">
        <f t="shared" si="361"/>
        <v>1+2079,19078032418i</v>
      </c>
      <c r="R405" s="4">
        <f t="shared" si="373"/>
        <v>2079.1910208023392</v>
      </c>
      <c r="S405" s="4">
        <f t="shared" si="374"/>
        <v>1.5703153704861457</v>
      </c>
      <c r="T405" s="4" t="str">
        <f t="shared" si="362"/>
        <v>1+7,04257789969998i</v>
      </c>
      <c r="U405" s="4">
        <f t="shared" si="375"/>
        <v>7.1132203307181889</v>
      </c>
      <c r="V405" s="4">
        <f t="shared" si="376"/>
        <v>1.4297457840040171</v>
      </c>
      <c r="W405" t="str">
        <f t="shared" si="363"/>
        <v>1-1,85349231421659i</v>
      </c>
      <c r="X405" s="4">
        <f t="shared" si="377"/>
        <v>2.1060469507729334</v>
      </c>
      <c r="Y405" s="4">
        <f t="shared" si="378"/>
        <v>-1.0760331709016242</v>
      </c>
      <c r="Z405" t="str">
        <f t="shared" si="364"/>
        <v>0,978018365045695+0,254654852848519i</v>
      </c>
      <c r="AA405" s="4">
        <f t="shared" si="379"/>
        <v>1.0106280307046482</v>
      </c>
      <c r="AB405" s="4">
        <f t="shared" si="380"/>
        <v>0.25472246170948198</v>
      </c>
      <c r="AC405" s="47" t="str">
        <f t="shared" si="381"/>
        <v>0,0386788188243057-0,387561436476106i</v>
      </c>
      <c r="AD405" s="20">
        <f t="shared" si="382"/>
        <v>-8.1901465376938045</v>
      </c>
      <c r="AE405" s="43">
        <f t="shared" si="383"/>
        <v>-84.300725345203475</v>
      </c>
      <c r="AF405" t="str">
        <f t="shared" si="365"/>
        <v>171,265703090588</v>
      </c>
      <c r="AG405" t="str">
        <f t="shared" si="366"/>
        <v>1+2059,29288830283i</v>
      </c>
      <c r="AH405">
        <f t="shared" si="384"/>
        <v>2059.2931311046059</v>
      </c>
      <c r="AI405">
        <f t="shared" si="385"/>
        <v>1.5703107232524978</v>
      </c>
      <c r="AJ405" t="str">
        <f t="shared" si="367"/>
        <v>1+7,04257789969998i</v>
      </c>
      <c r="AK405">
        <f t="shared" si="386"/>
        <v>7.1132203307181889</v>
      </c>
      <c r="AL405">
        <f t="shared" si="387"/>
        <v>1.4297457840040171</v>
      </c>
      <c r="AM405" t="str">
        <f t="shared" si="368"/>
        <v>1-0,585582251445097i</v>
      </c>
      <c r="AN405">
        <f t="shared" si="388"/>
        <v>1.1588384586332594</v>
      </c>
      <c r="AO405">
        <f t="shared" si="389"/>
        <v>-0.52975075534393656</v>
      </c>
      <c r="AP405" s="41" t="str">
        <f t="shared" si="390"/>
        <v>0,537217311150085-0,42588877329809i</v>
      </c>
      <c r="AQ405">
        <f t="shared" si="391"/>
        <v>-3.2791721639104345</v>
      </c>
      <c r="AR405" s="43">
        <f t="shared" si="392"/>
        <v>-38.40626024152575</v>
      </c>
      <c r="AS405" t="str">
        <f t="shared" si="369"/>
        <v>-0,0000166666666666667</v>
      </c>
      <c r="AT405" t="str">
        <f t="shared" si="370"/>
        <v>0,000714039148164025i</v>
      </c>
      <c r="AU405">
        <f t="shared" si="393"/>
        <v>7.1403914816402497E-4</v>
      </c>
      <c r="AV405">
        <f t="shared" si="394"/>
        <v>1.5707963267948966</v>
      </c>
      <c r="AW405" t="str">
        <f t="shared" si="371"/>
        <v>1+3,30876248665741i</v>
      </c>
      <c r="AX405">
        <f t="shared" si="395"/>
        <v>3.4565747775957814</v>
      </c>
      <c r="AY405">
        <f t="shared" si="396"/>
        <v>1.2772969363361129</v>
      </c>
      <c r="AZ405" t="str">
        <f t="shared" si="372"/>
        <v>1+153,707057334722i</v>
      </c>
      <c r="BA405">
        <f t="shared" si="397"/>
        <v>153.71031024137426</v>
      </c>
      <c r="BB405">
        <f t="shared" si="398"/>
        <v>1.5642905364371611</v>
      </c>
      <c r="BC405" s="41" t="str">
        <f t="shared" si="399"/>
        <v>-0,293817544984591+0,995513861374744i</v>
      </c>
      <c r="BD405">
        <f t="shared" si="400"/>
        <v>0.32367537851633016</v>
      </c>
      <c r="BE405" s="43">
        <f t="shared" si="401"/>
        <v>106.44352203305537</v>
      </c>
      <c r="BF405" s="41" t="str">
        <f t="shared" si="402"/>
        <v>0,37445826655641+0,15237765007731i</v>
      </c>
      <c r="BG405" s="20">
        <f t="shared" si="403"/>
        <v>-7.8664711591774639</v>
      </c>
      <c r="BH405" s="43">
        <f t="shared" si="404"/>
        <v>22.142796687851927</v>
      </c>
      <c r="BI405" s="41" t="str">
        <f t="shared" si="357"/>
        <v>0,266134305736793+0,659940873627322i</v>
      </c>
      <c r="BJ405" s="20">
        <f t="shared" si="405"/>
        <v>-2.9554967853941068</v>
      </c>
      <c r="BK405" s="43">
        <f t="shared" si="358"/>
        <v>68.037261791529673</v>
      </c>
      <c r="BL405">
        <f t="shared" si="406"/>
        <v>-7.8664711591774639</v>
      </c>
      <c r="BM405" s="43">
        <f t="shared" si="407"/>
        <v>22.142796687851927</v>
      </c>
    </row>
    <row r="406" spans="14:65" x14ac:dyDescent="0.25">
      <c r="N406" s="9">
        <v>88</v>
      </c>
      <c r="O406" s="34">
        <f t="shared" si="359"/>
        <v>75857.757502918481</v>
      </c>
      <c r="P406" s="33" t="str">
        <f t="shared" si="360"/>
        <v>54,631621870174</v>
      </c>
      <c r="Q406" s="4" t="str">
        <f t="shared" si="361"/>
        <v>1+2127,62135512049i</v>
      </c>
      <c r="R406" s="4">
        <f t="shared" si="373"/>
        <v>2127.6215901246987</v>
      </c>
      <c r="S406" s="4">
        <f t="shared" si="374"/>
        <v>1.5703263183867007</v>
      </c>
      <c r="T406" s="4" t="str">
        <f t="shared" si="362"/>
        <v>1+7,20662061235429i</v>
      </c>
      <c r="U406" s="4">
        <f t="shared" si="375"/>
        <v>7.2756704605424316</v>
      </c>
      <c r="V406" s="4">
        <f t="shared" si="376"/>
        <v>1.4329154856708273</v>
      </c>
      <c r="W406" t="str">
        <f t="shared" si="363"/>
        <v>1-1,89666569638407i</v>
      </c>
      <c r="X406" s="4">
        <f t="shared" si="377"/>
        <v>2.1441410317047871</v>
      </c>
      <c r="Y406" s="4">
        <f t="shared" si="378"/>
        <v>-1.0855941263000224</v>
      </c>
      <c r="Z406" t="str">
        <f t="shared" si="364"/>
        <v>0,976982402506514+0,260586526370176i</v>
      </c>
      <c r="AA406" s="4">
        <f t="shared" si="379"/>
        <v>1.0111379493091308</v>
      </c>
      <c r="AB406" s="4">
        <f t="shared" si="380"/>
        <v>0.26065770683824663</v>
      </c>
      <c r="AC406" s="47" t="str">
        <f t="shared" si="381"/>
        <v>0,0344748144872137-0,394652565966034i</v>
      </c>
      <c r="AD406" s="20">
        <f t="shared" si="382"/>
        <v>-8.0426867441564944</v>
      </c>
      <c r="AE406" s="43">
        <f t="shared" si="383"/>
        <v>-85.007608974570871</v>
      </c>
      <c r="AF406" t="str">
        <f t="shared" si="365"/>
        <v>171,265703090588</v>
      </c>
      <c r="AG406" t="str">
        <f t="shared" si="366"/>
        <v>1+2107,25998165388i</v>
      </c>
      <c r="AH406">
        <f t="shared" si="384"/>
        <v>2107.2602189288132</v>
      </c>
      <c r="AI406">
        <f t="shared" si="385"/>
        <v>1.5703217769369577</v>
      </c>
      <c r="AJ406" t="str">
        <f t="shared" si="367"/>
        <v>1+7,20662061235429i</v>
      </c>
      <c r="AK406">
        <f t="shared" si="386"/>
        <v>7.2756704605424316</v>
      </c>
      <c r="AL406">
        <f t="shared" si="387"/>
        <v>1.4329154856708273</v>
      </c>
      <c r="AM406" t="str">
        <f t="shared" si="368"/>
        <v>1-0,599222214307753i</v>
      </c>
      <c r="AN406">
        <f t="shared" si="388"/>
        <v>1.1657904023107613</v>
      </c>
      <c r="AO406">
        <f t="shared" si="389"/>
        <v>-0.53984740277871801</v>
      </c>
      <c r="AP406" s="41" t="str">
        <f t="shared" si="390"/>
        <v>0,537215499168786-0,431990681525108i</v>
      </c>
      <c r="AQ406">
        <f t="shared" si="391"/>
        <v>-3.2310854210744338</v>
      </c>
      <c r="AR406" s="43">
        <f t="shared" si="392"/>
        <v>-38.803778328414012</v>
      </c>
      <c r="AS406" t="str">
        <f t="shared" si="369"/>
        <v>-0,0000166666666666667</v>
      </c>
      <c r="AT406" t="str">
        <f t="shared" si="370"/>
        <v>0,000730671256530366i</v>
      </c>
      <c r="AU406">
        <f t="shared" si="393"/>
        <v>7.3067125653036597E-4</v>
      </c>
      <c r="AV406">
        <f t="shared" si="394"/>
        <v>1.5707963267948966</v>
      </c>
      <c r="AW406" t="str">
        <f t="shared" si="371"/>
        <v>1+3,38583346571797i</v>
      </c>
      <c r="AX406">
        <f t="shared" si="395"/>
        <v>3.5304204080499764</v>
      </c>
      <c r="AY406">
        <f t="shared" si="396"/>
        <v>1.2836126347237582</v>
      </c>
      <c r="AZ406" t="str">
        <f t="shared" si="372"/>
        <v>1+157,287354634717i</v>
      </c>
      <c r="BA406">
        <f t="shared" si="397"/>
        <v>157.29053349768773</v>
      </c>
      <c r="BB406">
        <f t="shared" si="398"/>
        <v>1.5644386222685722</v>
      </c>
      <c r="BC406" s="41" t="str">
        <f t="shared" si="399"/>
        <v>-0,281654561350571+0,976445515283835i</v>
      </c>
      <c r="BD406">
        <f t="shared" si="400"/>
        <v>0.14005773874463698</v>
      </c>
      <c r="BE406" s="43">
        <f t="shared" si="401"/>
        <v>106.09014386391132</v>
      </c>
      <c r="BF406" s="41" t="str">
        <f t="shared" si="402"/>
        <v>0,375646739380753+0,144818473349323i</v>
      </c>
      <c r="BG406" s="20">
        <f t="shared" si="403"/>
        <v>-7.9026290054118631</v>
      </c>
      <c r="BH406" s="43">
        <f t="shared" si="404"/>
        <v>21.082534889340518</v>
      </c>
      <c r="BI406" s="41" t="str">
        <f t="shared" si="357"/>
        <v>0,270506167850487+0,646233810816816i</v>
      </c>
      <c r="BJ406" s="20">
        <f t="shared" si="405"/>
        <v>-3.0910276823298002</v>
      </c>
      <c r="BK406" s="43">
        <f t="shared" si="358"/>
        <v>67.286365535497268</v>
      </c>
      <c r="BL406">
        <f t="shared" si="406"/>
        <v>-7.9026290054118631</v>
      </c>
      <c r="BM406" s="43">
        <f t="shared" si="407"/>
        <v>21.082534889340518</v>
      </c>
    </row>
    <row r="407" spans="14:65" x14ac:dyDescent="0.25">
      <c r="N407" s="9">
        <v>89</v>
      </c>
      <c r="O407" s="34">
        <f t="shared" si="359"/>
        <v>77624.711662869129</v>
      </c>
      <c r="P407" s="33" t="str">
        <f t="shared" si="360"/>
        <v>54,631621870174</v>
      </c>
      <c r="Q407" s="4" t="str">
        <f t="shared" si="361"/>
        <v>1+2177,18002292167i</v>
      </c>
      <c r="R407" s="4">
        <f t="shared" si="373"/>
        <v>2177.1802525765302</v>
      </c>
      <c r="S407" s="4">
        <f t="shared" si="374"/>
        <v>1.5703370170827231</v>
      </c>
      <c r="T407" s="4" t="str">
        <f t="shared" si="362"/>
        <v>1+7,37448437064817i</v>
      </c>
      <c r="U407" s="4">
        <f t="shared" si="375"/>
        <v>7.4419768699542548</v>
      </c>
      <c r="V407" s="4">
        <f t="shared" si="376"/>
        <v>1.4360157327137071</v>
      </c>
      <c r="W407" t="str">
        <f t="shared" si="363"/>
        <v>1-1,94084471580911i</v>
      </c>
      <c r="X407" s="4">
        <f t="shared" si="377"/>
        <v>2.1833181652897373</v>
      </c>
      <c r="Y407" s="4">
        <f t="shared" si="378"/>
        <v>-1.0950315215233233</v>
      </c>
      <c r="Z407" t="str">
        <f t="shared" si="364"/>
        <v>0,975897616557026+0,266656366317385i</v>
      </c>
      <c r="AA407" s="4">
        <f t="shared" si="379"/>
        <v>1.0116727611729375</v>
      </c>
      <c r="AB407" s="4">
        <f t="shared" si="380"/>
        <v>0.26673122164196966</v>
      </c>
      <c r="AC407" s="47" t="str">
        <f t="shared" si="381"/>
        <v>0,0300817423806018-0,401884970321878i</v>
      </c>
      <c r="AD407" s="20">
        <f t="shared" si="382"/>
        <v>-7.8937001143464318</v>
      </c>
      <c r="AE407" s="43">
        <f t="shared" si="383"/>
        <v>-85.719300574649949</v>
      </c>
      <c r="AF407" t="str">
        <f t="shared" si="365"/>
        <v>171,265703090588</v>
      </c>
      <c r="AG407" t="str">
        <f t="shared" si="366"/>
        <v>1+2156,34437214008i</v>
      </c>
      <c r="AH407">
        <f t="shared" si="384"/>
        <v>2156.344604013977</v>
      </c>
      <c r="AI407">
        <f t="shared" si="385"/>
        <v>1.5703325790089526</v>
      </c>
      <c r="AJ407" t="str">
        <f t="shared" si="367"/>
        <v>1+7,37448437064817i</v>
      </c>
      <c r="AK407">
        <f t="shared" si="386"/>
        <v>7.4419768699542548</v>
      </c>
      <c r="AL407">
        <f t="shared" si="387"/>
        <v>1.4360157327137071</v>
      </c>
      <c r="AM407" t="str">
        <f t="shared" si="368"/>
        <v>1-0,613179892720079i</v>
      </c>
      <c r="AN407">
        <f t="shared" si="388"/>
        <v>1.1730258227491019</v>
      </c>
      <c r="AO407">
        <f t="shared" si="389"/>
        <v>-0.55005427506012372</v>
      </c>
      <c r="AP407" s="41" t="str">
        <f t="shared" si="390"/>
        <v>0,537213768740042-0,438321636852122i</v>
      </c>
      <c r="AQ407">
        <f t="shared" si="391"/>
        <v>-3.1810375204217678</v>
      </c>
      <c r="AR407" s="43">
        <f t="shared" si="392"/>
        <v>-39.211576874298011</v>
      </c>
      <c r="AS407" t="str">
        <f t="shared" si="369"/>
        <v>-0,0000166666666666667</v>
      </c>
      <c r="AT407" t="str">
        <f t="shared" si="370"/>
        <v>0,000747690776468495i</v>
      </c>
      <c r="AU407">
        <f t="shared" si="393"/>
        <v>7.4769077646849504E-4</v>
      </c>
      <c r="AV407">
        <f t="shared" si="394"/>
        <v>1.5707963267948966</v>
      </c>
      <c r="AW407" t="str">
        <f t="shared" si="371"/>
        <v>1+3,46469965849885i</v>
      </c>
      <c r="AX407">
        <f t="shared" si="395"/>
        <v>3.6061258607544531</v>
      </c>
      <c r="AY407">
        <f t="shared" si="396"/>
        <v>1.2898074212975854</v>
      </c>
      <c r="AZ407" t="str">
        <f t="shared" si="372"/>
        <v>1+160,951047772083i</v>
      </c>
      <c r="BA407">
        <f t="shared" si="397"/>
        <v>160.95415427671119</v>
      </c>
      <c r="BB407">
        <f t="shared" si="398"/>
        <v>1.5645833375243678</v>
      </c>
      <c r="BC407" s="41" t="str">
        <f t="shared" si="399"/>
        <v>-0,269952825917124+0,957596318743882i</v>
      </c>
      <c r="BD407">
        <f t="shared" si="400"/>
        <v>-4.4239270422848191E-2</v>
      </c>
      <c r="BE407" s="43">
        <f t="shared" si="401"/>
        <v>105.74350031163495</v>
      </c>
      <c r="BF407" s="41" t="str">
        <f t="shared" si="402"/>
        <v>0,37672291677457+0,137296149197077i</v>
      </c>
      <c r="BG407" s="20">
        <f t="shared" si="403"/>
        <v>-7.9379393847692814</v>
      </c>
      <c r="BH407" s="43">
        <f t="shared" si="404"/>
        <v>20.024199736985068</v>
      </c>
      <c r="BI407" s="41" t="str">
        <f t="shared" si="357"/>
        <v>0,274712810882422+0,632760091852841i</v>
      </c>
      <c r="BJ407" s="20">
        <f t="shared" si="405"/>
        <v>-3.2252767908446178</v>
      </c>
      <c r="BK407" s="43">
        <f t="shared" si="358"/>
        <v>66.531923437336928</v>
      </c>
      <c r="BL407">
        <f t="shared" si="406"/>
        <v>-7.9379393847692814</v>
      </c>
      <c r="BM407" s="43">
        <f t="shared" si="407"/>
        <v>20.024199736985068</v>
      </c>
    </row>
    <row r="408" spans="14:65" x14ac:dyDescent="0.25">
      <c r="N408" s="9">
        <v>90</v>
      </c>
      <c r="O408" s="34">
        <f t="shared" si="359"/>
        <v>79432.823472428237</v>
      </c>
      <c r="P408" s="33" t="str">
        <f t="shared" si="360"/>
        <v>54,631621870174</v>
      </c>
      <c r="Q408" s="4" t="str">
        <f t="shared" si="361"/>
        <v>1+2227,8930603894i</v>
      </c>
      <c r="R408" s="4">
        <f t="shared" si="373"/>
        <v>2227.8932848166778</v>
      </c>
      <c r="S408" s="4">
        <f t="shared" si="374"/>
        <v>1.5703474722467934</v>
      </c>
      <c r="T408" s="4" t="str">
        <f t="shared" si="362"/>
        <v>1+7,54625817816824i</v>
      </c>
      <c r="U408" s="4">
        <f t="shared" si="375"/>
        <v>7.6122278270931325</v>
      </c>
      <c r="V408" s="4">
        <f t="shared" si="376"/>
        <v>1.4390479304142068</v>
      </c>
      <c r="W408" t="str">
        <f t="shared" si="363"/>
        <v>1-1,9860527967926i</v>
      </c>
      <c r="X408" s="4">
        <f t="shared" si="377"/>
        <v>2.2236019678997652</v>
      </c>
      <c r="Y408" s="4">
        <f t="shared" si="378"/>
        <v>-1.1043436352463183</v>
      </c>
      <c r="Z408" t="str">
        <f t="shared" si="364"/>
        <v>0,974761706220792+0,27286759099963i</v>
      </c>
      <c r="AA408" s="4">
        <f t="shared" si="379"/>
        <v>1.0122337211002264</v>
      </c>
      <c r="AB408" s="4">
        <f t="shared" si="380"/>
        <v>0.27294621359636317</v>
      </c>
      <c r="AC408" s="47" t="str">
        <f t="shared" si="381"/>
        <v>0,0254915599448101-0,409257736502225i</v>
      </c>
      <c r="AD408" s="20">
        <f t="shared" si="382"/>
        <v>-7.7432452846187392</v>
      </c>
      <c r="AE408" s="43">
        <f t="shared" si="383"/>
        <v>-86.435805103905352</v>
      </c>
      <c r="AF408" t="str">
        <f t="shared" si="365"/>
        <v>171,265703090588</v>
      </c>
      <c r="AG408" t="str">
        <f t="shared" si="366"/>
        <v>1+2206,57208495499i</v>
      </c>
      <c r="AH408">
        <f t="shared" si="384"/>
        <v>2206.5723115507931</v>
      </c>
      <c r="AI408">
        <f t="shared" si="385"/>
        <v>1.5703431351958741</v>
      </c>
      <c r="AJ408" t="str">
        <f t="shared" si="367"/>
        <v>1+7,54625817816824i</v>
      </c>
      <c r="AK408">
        <f t="shared" si="386"/>
        <v>7.6122278270931325</v>
      </c>
      <c r="AL408">
        <f t="shared" si="387"/>
        <v>1.4390479304142068</v>
      </c>
      <c r="AM408" t="str">
        <f t="shared" si="368"/>
        <v>1-0,627462687227923i</v>
      </c>
      <c r="AN408">
        <f t="shared" si="388"/>
        <v>1.18055471023722</v>
      </c>
      <c r="AO408">
        <f t="shared" si="389"/>
        <v>-0.5603682767170759</v>
      </c>
      <c r="AP408" s="41" t="str">
        <f t="shared" si="390"/>
        <v>0,537212116193385-0,444884996040616i</v>
      </c>
      <c r="AQ408">
        <f t="shared" si="391"/>
        <v>-3.1289973264764068</v>
      </c>
      <c r="AR408" s="43">
        <f t="shared" si="392"/>
        <v>-39.629398333203014</v>
      </c>
      <c r="AS408" t="str">
        <f t="shared" si="369"/>
        <v>-0,0000166666666666667</v>
      </c>
      <c r="AT408" t="str">
        <f t="shared" si="370"/>
        <v>0,000765106731953168i</v>
      </c>
      <c r="AU408">
        <f t="shared" si="393"/>
        <v>7.6510673195316799E-4</v>
      </c>
      <c r="AV408">
        <f t="shared" si="394"/>
        <v>1.5707963267948966</v>
      </c>
      <c r="AW408" t="str">
        <f t="shared" si="371"/>
        <v>1+3,5454028808994i</v>
      </c>
      <c r="AX408">
        <f t="shared" si="395"/>
        <v>3.6837320190113942</v>
      </c>
      <c r="AY408">
        <f t="shared" si="396"/>
        <v>1.2958826780696706</v>
      </c>
      <c r="AZ408" t="str">
        <f t="shared" si="372"/>
        <v>1+164,700079285418i</v>
      </c>
      <c r="BA408">
        <f t="shared" si="397"/>
        <v>164.7031150786863</v>
      </c>
      <c r="BB408">
        <f t="shared" si="398"/>
        <v>1.5647247589102327</v>
      </c>
      <c r="BC408" s="41" t="str">
        <f t="shared" si="399"/>
        <v>-0,258698303598441+0,938973164033152i</v>
      </c>
      <c r="BD408">
        <f t="shared" si="400"/>
        <v>-0.22918978797922901</v>
      </c>
      <c r="BE408" s="43">
        <f t="shared" si="401"/>
        <v>105.40351658767915</v>
      </c>
      <c r="BF408" s="41" t="str">
        <f t="shared" si="402"/>
        <v>0,37768740843474+0,129810172865182i</v>
      </c>
      <c r="BG408" s="20">
        <f t="shared" si="403"/>
        <v>-7.9724350725979711</v>
      </c>
      <c r="BH408" s="43">
        <f t="shared" si="404"/>
        <v>18.967711483773719</v>
      </c>
      <c r="BI408" s="41" t="str">
        <f t="shared" si="357"/>
        <v>0,278759209231376+0,619518754271155i</v>
      </c>
      <c r="BJ408" s="20">
        <f t="shared" si="405"/>
        <v>-3.3581871144556317</v>
      </c>
      <c r="BK408" s="43">
        <f t="shared" si="358"/>
        <v>65.774118254476164</v>
      </c>
      <c r="BL408">
        <f t="shared" si="406"/>
        <v>-7.9724350725979711</v>
      </c>
      <c r="BM408" s="43">
        <f t="shared" si="407"/>
        <v>18.967711483773719</v>
      </c>
    </row>
    <row r="409" spans="14:65" x14ac:dyDescent="0.25">
      <c r="N409" s="9">
        <v>91</v>
      </c>
      <c r="O409" s="34">
        <f t="shared" si="359"/>
        <v>81283.051616410012</v>
      </c>
      <c r="P409" s="33" t="str">
        <f t="shared" si="360"/>
        <v>54,631621870174</v>
      </c>
      <c r="Q409" s="4" t="str">
        <f t="shared" si="361"/>
        <v>1+2279,7873562474i</v>
      </c>
      <c r="R409" s="4">
        <f t="shared" si="373"/>
        <v>2279.7875755660898</v>
      </c>
      <c r="S409" s="4">
        <f t="shared" si="374"/>
        <v>1.5703576894223692</v>
      </c>
      <c r="T409" s="4" t="str">
        <f t="shared" si="362"/>
        <v>1+7,72203311166088i</v>
      </c>
      <c r="U409" s="4">
        <f t="shared" si="375"/>
        <v>7.7865136856995907</v>
      </c>
      <c r="V409" s="4">
        <f t="shared" si="376"/>
        <v>1.442013463336201</v>
      </c>
      <c r="W409" t="str">
        <f t="shared" si="363"/>
        <v>1-2,03231390925746i</v>
      </c>
      <c r="X409" s="4">
        <f t="shared" si="377"/>
        <v>2.2650165177678816</v>
      </c>
      <c r="Y409" s="4">
        <f t="shared" si="378"/>
        <v>-1.1135289439318592</v>
      </c>
      <c r="Z409" t="str">
        <f t="shared" si="364"/>
        <v>0,973572262079696+0,279223493690452i</v>
      </c>
      <c r="AA409" s="4">
        <f t="shared" si="379"/>
        <v>1.0128221506857353</v>
      </c>
      <c r="AB409" s="4">
        <f t="shared" si="380"/>
        <v>0.27930596220503234</v>
      </c>
      <c r="AC409" s="47" t="str">
        <f t="shared" si="381"/>
        <v>0,0206959296600998-0,41676970081257i</v>
      </c>
      <c r="AD409" s="20">
        <f t="shared" si="382"/>
        <v>-7.5913810980220155</v>
      </c>
      <c r="AE409" s="43">
        <f t="shared" si="383"/>
        <v>-87.157144159754338</v>
      </c>
      <c r="AF409" t="str">
        <f t="shared" si="365"/>
        <v>171,265703090588</v>
      </c>
      <c r="AG409" t="str">
        <f t="shared" si="366"/>
        <v>1+2257,96975149677i</v>
      </c>
      <c r="AH409">
        <f t="shared" si="384"/>
        <v>2257.9699729346235</v>
      </c>
      <c r="AI409">
        <f t="shared" si="385"/>
        <v>1.5703534510947428</v>
      </c>
      <c r="AJ409" t="str">
        <f t="shared" si="367"/>
        <v>1+7,72203311166088i</v>
      </c>
      <c r="AK409">
        <f t="shared" si="386"/>
        <v>7.7865136856995907</v>
      </c>
      <c r="AL409">
        <f t="shared" si="387"/>
        <v>1.442013463336201</v>
      </c>
      <c r="AM409" t="str">
        <f t="shared" si="368"/>
        <v>1-0,642078170757983i</v>
      </c>
      <c r="AN409">
        <f t="shared" si="388"/>
        <v>1.1883873010781956</v>
      </c>
      <c r="AO409">
        <f t="shared" si="389"/>
        <v>-0.57078609848232864</v>
      </c>
      <c r="AP409" s="41" t="str">
        <f t="shared" si="390"/>
        <v>0,537210538023556-0,451684239075324i</v>
      </c>
      <c r="AQ409">
        <f t="shared" si="391"/>
        <v>-3.0749341373799028</v>
      </c>
      <c r="AR409" s="43">
        <f t="shared" si="392"/>
        <v>-40.056974089100983</v>
      </c>
      <c r="AS409" t="str">
        <f t="shared" si="369"/>
        <v>-0,0000166666666666667</v>
      </c>
      <c r="AT409" t="str">
        <f t="shared" si="370"/>
        <v>0,000782928357154506i</v>
      </c>
      <c r="AU409">
        <f t="shared" si="393"/>
        <v>7.8292835715450596E-4</v>
      </c>
      <c r="AV409">
        <f t="shared" si="394"/>
        <v>1.5707963267948966</v>
      </c>
      <c r="AW409" t="str">
        <f t="shared" si="371"/>
        <v>1+3,62798592283635i</v>
      </c>
      <c r="AX409">
        <f t="shared" si="395"/>
        <v>3.763280730466267</v>
      </c>
      <c r="AY409">
        <f t="shared" si="396"/>
        <v>1.3018398316814705</v>
      </c>
      <c r="AZ409" t="str">
        <f t="shared" si="372"/>
        <v>1+168,536436960853i</v>
      </c>
      <c r="BA409">
        <f t="shared" si="397"/>
        <v>168.53940365226043</v>
      </c>
      <c r="BB409">
        <f t="shared" si="398"/>
        <v>1.5648629613870173</v>
      </c>
      <c r="BC409" s="41" t="str">
        <f t="shared" si="399"/>
        <v>-0,247877099357226+0,920582228301617i</v>
      </c>
      <c r="BD409">
        <f t="shared" si="400"/>
        <v>-0.4147687479075915</v>
      </c>
      <c r="BE409" s="43">
        <f t="shared" si="401"/>
        <v>105.07011524644984</v>
      </c>
      <c r="BF409" s="41" t="str">
        <f t="shared" si="402"/>
        <v>0,378540732849987+0,122359969580667i</v>
      </c>
      <c r="BG409" s="20">
        <f t="shared" si="403"/>
        <v>-8.0061498459296097</v>
      </c>
      <c r="BH409" s="43">
        <f t="shared" si="404"/>
        <v>17.912971086695535</v>
      </c>
      <c r="BI409" s="41" t="str">
        <f t="shared" si="357"/>
        <v>0,282650293387268+0,606508653168203i</v>
      </c>
      <c r="BJ409" s="20">
        <f t="shared" si="405"/>
        <v>-3.4897028852874938</v>
      </c>
      <c r="BK409" s="43">
        <f t="shared" si="358"/>
        <v>65.013141157348898</v>
      </c>
      <c r="BL409">
        <f t="shared" si="406"/>
        <v>-8.0061498459296097</v>
      </c>
      <c r="BM409" s="43">
        <f t="shared" si="407"/>
        <v>17.912971086695535</v>
      </c>
    </row>
    <row r="410" spans="14:65" x14ac:dyDescent="0.25">
      <c r="N410" s="9">
        <v>92</v>
      </c>
      <c r="O410" s="34">
        <f t="shared" si="359"/>
        <v>83176.377110267174</v>
      </c>
      <c r="P410" s="33" t="str">
        <f t="shared" si="360"/>
        <v>54,631621870174</v>
      </c>
      <c r="Q410" s="4" t="str">
        <f t="shared" si="361"/>
        <v>1+2332,89042553823i</v>
      </c>
      <c r="R410" s="4">
        <f t="shared" si="373"/>
        <v>2332.8906398646172</v>
      </c>
      <c r="S410" s="4">
        <f t="shared" si="374"/>
        <v>1.5703676740267232</v>
      </c>
      <c r="T410" s="4" t="str">
        <f t="shared" si="362"/>
        <v>1+7,90190236932253i</v>
      </c>
      <c r="U410" s="4">
        <f t="shared" si="375"/>
        <v>7.9649269333939907</v>
      </c>
      <c r="V410" s="4">
        <f t="shared" si="376"/>
        <v>1.4449136950934989</v>
      </c>
      <c r="W410" t="str">
        <f t="shared" si="363"/>
        <v>1-2,07965258145786i</v>
      </c>
      <c r="X410" s="4">
        <f t="shared" si="377"/>
        <v>2.3075863709868671</v>
      </c>
      <c r="Y410" s="4">
        <f t="shared" si="378"/>
        <v>-1.1225861170986919</v>
      </c>
      <c r="Z410" t="str">
        <f t="shared" si="364"/>
        <v>0,972326761163242+0,285727444373589i</v>
      </c>
      <c r="AA410" s="4">
        <f t="shared" si="379"/>
        <v>1.0134394421683335</v>
      </c>
      <c r="AB410" s="4">
        <f t="shared" si="380"/>
        <v>0.28581382028268426</v>
      </c>
      <c r="AC410" s="47" t="str">
        <f t="shared" si="381"/>
        <v>0,0156862132101922-0,424419426903461i</v>
      </c>
      <c r="AD410" s="20">
        <f t="shared" si="382"/>
        <v>-7.4381665615606138</v>
      </c>
      <c r="AE410" s="43">
        <f t="shared" si="383"/>
        <v>-87.883355794439197</v>
      </c>
      <c r="AF410" t="str">
        <f t="shared" si="365"/>
        <v>171,265703090588</v>
      </c>
      <c r="AG410" t="str">
        <f t="shared" si="366"/>
        <v>1+2310,56462348856i</v>
      </c>
      <c r="AH410">
        <f t="shared" si="384"/>
        <v>2310.5648398858734</v>
      </c>
      <c r="AI410">
        <f t="shared" si="385"/>
        <v>1.5703635321751759</v>
      </c>
      <c r="AJ410" t="str">
        <f t="shared" si="367"/>
        <v>1+7,90190236932253i</v>
      </c>
      <c r="AK410">
        <f t="shared" si="386"/>
        <v>7.9649269333939907</v>
      </c>
      <c r="AL410">
        <f t="shared" si="387"/>
        <v>1.4449136950934989</v>
      </c>
      <c r="AM410" t="str">
        <f t="shared" si="368"/>
        <v>1-0,65703409263309i</v>
      </c>
      <c r="AN410">
        <f t="shared" si="388"/>
        <v>1.1965340776100728</v>
      </c>
      <c r="AO410">
        <f t="shared" si="389"/>
        <v>-0.58130421848255942</v>
      </c>
      <c r="AP410" s="41" t="str">
        <f t="shared" si="390"/>
        <v>0,537209030883037-0,458722971009408i</v>
      </c>
      <c r="AQ410">
        <f t="shared" si="391"/>
        <v>-3.0188178095779628</v>
      </c>
      <c r="AR410" s="43">
        <f t="shared" si="392"/>
        <v>-40.494024537585211</v>
      </c>
      <c r="AS410" t="str">
        <f t="shared" si="369"/>
        <v>-0,0000166666666666667</v>
      </c>
      <c r="AT410" t="str">
        <f t="shared" si="370"/>
        <v>0,00080116510133409i</v>
      </c>
      <c r="AU410">
        <f t="shared" si="393"/>
        <v>8.0116510133409005E-4</v>
      </c>
      <c r="AV410">
        <f t="shared" si="394"/>
        <v>1.5707963267948966</v>
      </c>
      <c r="AW410" t="str">
        <f t="shared" si="371"/>
        <v>1+3,71249257093167i</v>
      </c>
      <c r="AX410">
        <f t="shared" si="395"/>
        <v>3.8448148315910919</v>
      </c>
      <c r="AY410">
        <f t="shared" si="396"/>
        <v>1.3076803487789255</v>
      </c>
      <c r="AZ410" t="str">
        <f t="shared" si="372"/>
        <v>1+172,462154886007i</v>
      </c>
      <c r="BA410">
        <f t="shared" si="397"/>
        <v>172.46505404842185</v>
      </c>
      <c r="BB410">
        <f t="shared" si="398"/>
        <v>1.5649980182103744</v>
      </c>
      <c r="BC410" s="41" t="str">
        <f t="shared" si="399"/>
        <v>-0,237475483890185+0,9024290059974i</v>
      </c>
      <c r="BD410">
        <f t="shared" si="400"/>
        <v>-0.60095187049136378</v>
      </c>
      <c r="BE410" s="43">
        <f t="shared" si="401"/>
        <v>104.7432164525645</v>
      </c>
      <c r="BF410" s="41" t="str">
        <f t="shared" si="402"/>
        <v>0,379283310473981+0,114944902571431i</v>
      </c>
      <c r="BG410" s="20">
        <f t="shared" si="403"/>
        <v>-8.0391184320519891</v>
      </c>
      <c r="BH410" s="43">
        <f t="shared" si="404"/>
        <v>16.859860658125278</v>
      </c>
      <c r="BI410" s="41" t="str">
        <f t="shared" si="357"/>
        <v>0,286390940197068+0,593728471264608i</v>
      </c>
      <c r="BJ410" s="20">
        <f t="shared" si="405"/>
        <v>-3.6197696800693233</v>
      </c>
      <c r="BK410" s="43">
        <f t="shared" si="358"/>
        <v>64.249191914979264</v>
      </c>
      <c r="BL410">
        <f t="shared" si="406"/>
        <v>-8.0391184320519891</v>
      </c>
      <c r="BM410" s="43">
        <f t="shared" si="407"/>
        <v>16.859860658125278</v>
      </c>
    </row>
    <row r="411" spans="14:65" x14ac:dyDescent="0.25">
      <c r="N411" s="9">
        <v>93</v>
      </c>
      <c r="O411" s="34">
        <f t="shared" si="359"/>
        <v>85113.803820237721</v>
      </c>
      <c r="P411" s="33" t="str">
        <f t="shared" si="360"/>
        <v>54,631621870174</v>
      </c>
      <c r="Q411" s="4" t="str">
        <f t="shared" si="361"/>
        <v>1+2387,23042421214i</v>
      </c>
      <c r="R411" s="4">
        <f t="shared" si="373"/>
        <v>2387.2306336598635</v>
      </c>
      <c r="S411" s="4">
        <f t="shared" si="374"/>
        <v>1.570377431353817</v>
      </c>
      <c r="T411" s="4" t="str">
        <f t="shared" si="362"/>
        <v>1+8,08596132021443i</v>
      </c>
      <c r="U411" s="4">
        <f t="shared" si="375"/>
        <v>8.1475622410635129</v>
      </c>
      <c r="V411" s="4">
        <f t="shared" si="376"/>
        <v>1.4477499681646815</v>
      </c>
      <c r="W411" t="str">
        <f t="shared" si="363"/>
        <v>1-2,12809391298441i</v>
      </c>
      <c r="X411" s="4">
        <f t="shared" si="377"/>
        <v>2.3513365778810353</v>
      </c>
      <c r="Y411" s="4">
        <f t="shared" si="378"/>
        <v>-1.1315140121520533</v>
      </c>
      <c r="Z411" t="str">
        <f t="shared" si="364"/>
        <v>0,971022561597+0,292382891529783i</v>
      </c>
      <c r="AA411" s="4">
        <f t="shared" si="379"/>
        <v>1.0140870625295031</v>
      </c>
      <c r="AB411" s="4">
        <f t="shared" si="380"/>
        <v>0.29247321521691438</v>
      </c>
      <c r="AC411" s="47" t="str">
        <f t="shared" si="381"/>
        <v>0,0104534661384845-0,432205182337363i</v>
      </c>
      <c r="AD411" s="20">
        <f t="shared" si="382"/>
        <v>-7.2836608094794899</v>
      </c>
      <c r="AE411" s="43">
        <f t="shared" si="383"/>
        <v>-88.614494301911122</v>
      </c>
      <c r="AF411" t="str">
        <f t="shared" si="365"/>
        <v>171,265703090588</v>
      </c>
      <c r="AG411" t="str">
        <f t="shared" si="366"/>
        <v>1+2364,38458742767i</v>
      </c>
      <c r="AH411">
        <f t="shared" si="384"/>
        <v>2364.3847988991793</v>
      </c>
      <c r="AI411">
        <f t="shared" si="385"/>
        <v>1.5703733837822875</v>
      </c>
      <c r="AJ411" t="str">
        <f t="shared" si="367"/>
        <v>1+8,08596132021443i</v>
      </c>
      <c r="AK411">
        <f t="shared" si="386"/>
        <v>8.1475622410635129</v>
      </c>
      <c r="AL411">
        <f t="shared" si="387"/>
        <v>1.4477499681646815</v>
      </c>
      <c r="AM411" t="str">
        <f t="shared" si="368"/>
        <v>1-0,672338382680985i</v>
      </c>
      <c r="AN411">
        <f t="shared" si="388"/>
        <v>1.2050057679638229</v>
      </c>
      <c r="AO411">
        <f t="shared" si="389"/>
        <v>-0.59191890433870453</v>
      </c>
      <c r="AP411" s="41" t="str">
        <f t="shared" si="390"/>
        <v>0,537207591574995-0,46600492387591i</v>
      </c>
      <c r="AQ411">
        <f t="shared" si="391"/>
        <v>-2.9606188833918305</v>
      </c>
      <c r="AR411" s="43">
        <f t="shared" si="392"/>
        <v>-40.940259216983137</v>
      </c>
      <c r="AS411" t="str">
        <f t="shared" si="369"/>
        <v>-0,0000166666666666667</v>
      </c>
      <c r="AT411" t="str">
        <f t="shared" si="370"/>
        <v>0,000819826633855074i</v>
      </c>
      <c r="AU411">
        <f t="shared" si="393"/>
        <v>8.1982663385507396E-4</v>
      </c>
      <c r="AV411">
        <f t="shared" si="394"/>
        <v>1.5707963267948966</v>
      </c>
      <c r="AW411" t="str">
        <f t="shared" si="371"/>
        <v>1+3,79896763172873i</v>
      </c>
      <c r="AX411">
        <f t="shared" si="395"/>
        <v>3.9283781725952247</v>
      </c>
      <c r="AY411">
        <f t="shared" si="396"/>
        <v>1.3134057316009577</v>
      </c>
      <c r="AZ411" t="str">
        <f t="shared" si="372"/>
        <v>1+176,479314528489i</v>
      </c>
      <c r="BA411">
        <f t="shared" si="397"/>
        <v>176.48214769898212</v>
      </c>
      <c r="BB411">
        <f t="shared" si="398"/>
        <v>1.5651300009695006</v>
      </c>
      <c r="BC411" s="41" t="str">
        <f t="shared" si="399"/>
        <v>-0,227479916550555+0,88451834120238i</v>
      </c>
      <c r="BD411">
        <f t="shared" si="400"/>
        <v>-0.78771565223818074</v>
      </c>
      <c r="BE411" s="43">
        <f t="shared" si="401"/>
        <v>104.42273823583179</v>
      </c>
      <c r="BF411" s="41" t="str">
        <f t="shared" si="402"/>
        <v>0,37991545733527+0,107564281339448i</v>
      </c>
      <c r="BG411" s="20">
        <f t="shared" si="403"/>
        <v>-8.0713764617176729</v>
      </c>
      <c r="BH411" s="43">
        <f t="shared" si="404"/>
        <v>15.808243933920624</v>
      </c>
      <c r="BI411" s="41" t="str">
        <f t="shared" si="357"/>
        <v>0,289985964157057+0,58117672897668i</v>
      </c>
      <c r="BJ411" s="20">
        <f t="shared" si="405"/>
        <v>-3.7483345356300095</v>
      </c>
      <c r="BK411" s="43">
        <f t="shared" si="358"/>
        <v>63.482479018848643</v>
      </c>
      <c r="BL411">
        <f t="shared" si="406"/>
        <v>-8.0713764617176729</v>
      </c>
      <c r="BM411" s="43">
        <f t="shared" si="407"/>
        <v>15.808243933920624</v>
      </c>
    </row>
    <row r="412" spans="14:65" x14ac:dyDescent="0.25">
      <c r="N412" s="9">
        <v>94</v>
      </c>
      <c r="O412" s="34">
        <f t="shared" si="359"/>
        <v>87096.358995608127</v>
      </c>
      <c r="P412" s="33" t="str">
        <f t="shared" si="360"/>
        <v>54,631621870174</v>
      </c>
      <c r="Q412" s="4" t="str">
        <f t="shared" si="361"/>
        <v>1+2442,83616405569i</v>
      </c>
      <c r="R412" s="4">
        <f t="shared" si="373"/>
        <v>2442.8363687358014</v>
      </c>
      <c r="S412" s="4">
        <f t="shared" si="374"/>
        <v>1.5703869665771073</v>
      </c>
      <c r="T412" s="4" t="str">
        <f t="shared" si="362"/>
        <v>1+8,27430755482867i</v>
      </c>
      <c r="U412" s="4">
        <f t="shared" si="375"/>
        <v>8.3345165133854522</v>
      </c>
      <c r="V412" s="4">
        <f t="shared" si="376"/>
        <v>1.4505236037518177</v>
      </c>
      <c r="W412" t="str">
        <f t="shared" si="363"/>
        <v>1-2,17766358807228i</v>
      </c>
      <c r="X412" s="4">
        <f t="shared" si="377"/>
        <v>2.3962926997376255</v>
      </c>
      <c r="Y412" s="4">
        <f t="shared" si="378"/>
        <v>-1.1403116688314043</v>
      </c>
      <c r="Z412" t="str">
        <f t="shared" si="364"/>
        <v>0,969656896998833+0,299193363965211i</v>
      </c>
      <c r="AA412" s="4">
        <f t="shared" si="379"/>
        <v>1.0147665578536891</v>
      </c>
      <c r="AB412" s="4">
        <f t="shared" si="380"/>
        <v>0.29928765020188614</v>
      </c>
      <c r="AC412" s="47" t="str">
        <f t="shared" si="381"/>
        <v>0,00498843309136934-0,440124913651745i</v>
      </c>
      <c r="AD412" s="20">
        <f t="shared" si="382"/>
        <v>-7.1279230727700993</v>
      </c>
      <c r="AE412" s="43">
        <f t="shared" si="383"/>
        <v>-89.350629978649152</v>
      </c>
      <c r="AF412" t="str">
        <f t="shared" si="365"/>
        <v>171,265703090588</v>
      </c>
      <c r="AG412" t="str">
        <f t="shared" si="366"/>
        <v>1+2419,45817937136i</v>
      </c>
      <c r="AH412">
        <f t="shared" si="384"/>
        <v>2419.4583860291909</v>
      </c>
      <c r="AI412">
        <f t="shared" si="385"/>
        <v>1.5703830111395227</v>
      </c>
      <c r="AJ412" t="str">
        <f t="shared" si="367"/>
        <v>1+8,27430755482867i</v>
      </c>
      <c r="AK412">
        <f t="shared" si="386"/>
        <v>8.3345165133854522</v>
      </c>
      <c r="AL412">
        <f t="shared" si="387"/>
        <v>1.4505236037518177</v>
      </c>
      <c r="AM412" t="str">
        <f t="shared" si="368"/>
        <v>1-0,687999155438828i</v>
      </c>
      <c r="AN412">
        <f t="shared" si="388"/>
        <v>1.2138133455702902</v>
      </c>
      <c r="AO412">
        <f t="shared" si="389"/>
        <v>-0.6026262162072531</v>
      </c>
      <c r="AP412" s="41" t="str">
        <f t="shared" si="390"/>
        <v>0,537206217046457-0,473533958666537i</v>
      </c>
      <c r="AQ412">
        <f t="shared" si="391"/>
        <v>-2.9003087088479091</v>
      </c>
      <c r="AR412" s="43">
        <f t="shared" si="392"/>
        <v>-41.395376990868471</v>
      </c>
      <c r="AS412" t="str">
        <f t="shared" si="369"/>
        <v>-0,0000166666666666667</v>
      </c>
      <c r="AT412" t="str">
        <f t="shared" si="370"/>
        <v>0,000838922849309017i</v>
      </c>
      <c r="AU412">
        <f t="shared" si="393"/>
        <v>8.3892284930901697E-4</v>
      </c>
      <c r="AV412">
        <f t="shared" si="394"/>
        <v>1.5707963267948966</v>
      </c>
      <c r="AW412" t="str">
        <f t="shared" si="371"/>
        <v>1+3,88745695544943i</v>
      </c>
      <c r="AX412">
        <f t="shared" si="395"/>
        <v>4.0140156427787064</v>
      </c>
      <c r="AY412">
        <f t="shared" si="396"/>
        <v>1.3190175137802456</v>
      </c>
      <c r="AZ412" t="str">
        <f t="shared" si="372"/>
        <v>1+180,590045839515i</v>
      </c>
      <c r="BA412">
        <f t="shared" si="397"/>
        <v>180.59281452017447</v>
      </c>
      <c r="BB412">
        <f t="shared" si="398"/>
        <v>1.5652589796249985</v>
      </c>
      <c r="BC412" s="41" t="str">
        <f t="shared" si="399"/>
        <v>-0,217877065653499+0,866854459718572i</v>
      </c>
      <c r="BD412">
        <f t="shared" si="400"/>
        <v>-0.97503735457288099</v>
      </c>
      <c r="BE412" s="43">
        <f t="shared" si="401"/>
        <v>104.1085967340192</v>
      </c>
      <c r="BF412" s="41" t="str">
        <f t="shared" si="402"/>
        <v>0,38043737906811+0,100217370179703i</v>
      </c>
      <c r="BG412" s="20">
        <f t="shared" si="403"/>
        <v>-8.1029604273429854</v>
      </c>
      <c r="BH412" s="43">
        <f t="shared" si="404"/>
        <v>14.757966755370067</v>
      </c>
      <c r="BI412" s="41" t="str">
        <f t="shared" si="357"/>
        <v>0,293440109677379+0,568851794436815i</v>
      </c>
      <c r="BJ412" s="20">
        <f t="shared" si="405"/>
        <v>-3.8753460634207877</v>
      </c>
      <c r="BK412" s="43">
        <f t="shared" si="358"/>
        <v>62.713219743150731</v>
      </c>
      <c r="BL412">
        <f t="shared" si="406"/>
        <v>-8.1029604273429854</v>
      </c>
      <c r="BM412" s="43">
        <f t="shared" si="407"/>
        <v>14.757966755370067</v>
      </c>
    </row>
    <row r="413" spans="14:65" x14ac:dyDescent="0.25">
      <c r="N413" s="9">
        <v>95</v>
      </c>
      <c r="O413" s="34">
        <f t="shared" si="359"/>
        <v>89125.093813374609</v>
      </c>
      <c r="P413" s="33" t="str">
        <f t="shared" si="360"/>
        <v>54,631621870174</v>
      </c>
      <c r="Q413" s="4" t="str">
        <f t="shared" si="361"/>
        <v>1+2499,73712796819i</v>
      </c>
      <c r="R413" s="4">
        <f t="shared" si="373"/>
        <v>2499.7373279892145</v>
      </c>
      <c r="S413" s="4">
        <f t="shared" si="374"/>
        <v>1.5703962847522885</v>
      </c>
      <c r="T413" s="4" t="str">
        <f t="shared" si="362"/>
        <v>1+8,46704093683188i</v>
      </c>
      <c r="U413" s="4">
        <f t="shared" si="375"/>
        <v>8.5258889405144664</v>
      </c>
      <c r="V413" s="4">
        <f t="shared" si="376"/>
        <v>1.4532359016798775</v>
      </c>
      <c r="W413" t="str">
        <f t="shared" si="363"/>
        <v>1-2,22838788921933i</v>
      </c>
      <c r="X413" s="4">
        <f t="shared" si="377"/>
        <v>2.4424808258857182</v>
      </c>
      <c r="Y413" s="4">
        <f t="shared" si="378"/>
        <v>-1.1489783033284124</v>
      </c>
      <c r="Z413" t="str">
        <f t="shared" si="364"/>
        <v>0,968226870611029+0,306162472682505i</v>
      </c>
      <c r="AA413" s="4">
        <f t="shared" si="379"/>
        <v>1.015479557968693</v>
      </c>
      <c r="AB413" s="4">
        <f t="shared" si="380"/>
        <v>0.30626070543633721</v>
      </c>
      <c r="AC413" s="47" t="str">
        <f t="shared" si="381"/>
        <v>-0,000718456246241424-0,448176219844936i</v>
      </c>
      <c r="AD413" s="20">
        <f t="shared" si="382"/>
        <v>-6.9710126550597229</v>
      </c>
      <c r="AE413" s="43">
        <f t="shared" si="383"/>
        <v>-90.091848861206685</v>
      </c>
      <c r="AF413" t="str">
        <f t="shared" si="365"/>
        <v>171,265703090588</v>
      </c>
      <c r="AG413" t="str">
        <f t="shared" si="366"/>
        <v>1+2475,81460006706i</v>
      </c>
      <c r="AH413">
        <f t="shared" si="384"/>
        <v>2475.814802020785</v>
      </c>
      <c r="AI413">
        <f t="shared" si="385"/>
        <v>1.5703924193514263</v>
      </c>
      <c r="AJ413" t="str">
        <f t="shared" si="367"/>
        <v>1+8,46704093683188i</v>
      </c>
      <c r="AK413">
        <f t="shared" si="386"/>
        <v>8.5258889405144664</v>
      </c>
      <c r="AL413">
        <f t="shared" si="387"/>
        <v>1.4532359016798775</v>
      </c>
      <c r="AM413" t="str">
        <f t="shared" si="368"/>
        <v>1-0,70402471445563i</v>
      </c>
      <c r="AN413">
        <f t="shared" si="388"/>
        <v>1.222968028430969</v>
      </c>
      <c r="AO413">
        <f t="shared" si="389"/>
        <v>-0.61342201078676128</v>
      </c>
      <c r="AP413" s="41" t="str">
        <f t="shared" si="390"/>
        <v>0,537204904381881-0,481314067378866i</v>
      </c>
      <c r="AQ413">
        <f t="shared" si="391"/>
        <v>-2.8378595710966263</v>
      </c>
      <c r="AR413" s="43">
        <f t="shared" si="392"/>
        <v>-41.859066283539327</v>
      </c>
      <c r="AS413" t="str">
        <f t="shared" si="369"/>
        <v>-0,0000166666666666667</v>
      </c>
      <c r="AT413" t="str">
        <f t="shared" si="370"/>
        <v>0,00085846387276212i</v>
      </c>
      <c r="AU413">
        <f t="shared" si="393"/>
        <v>8.5846387276212002E-4</v>
      </c>
      <c r="AV413">
        <f t="shared" si="394"/>
        <v>1.5707963267948966</v>
      </c>
      <c r="AW413" t="str">
        <f t="shared" si="371"/>
        <v>1+3,97800746030448i</v>
      </c>
      <c r="AX413">
        <f t="shared" si="395"/>
        <v>4.1017731963430277</v>
      </c>
      <c r="AY413">
        <f t="shared" si="396"/>
        <v>1.3245172563541201</v>
      </c>
      <c r="AZ413" t="str">
        <f t="shared" si="372"/>
        <v>1+184,796528383235i</v>
      </c>
      <c r="BA413">
        <f t="shared" si="397"/>
        <v>184.79923404196182</v>
      </c>
      <c r="BB413">
        <f t="shared" si="398"/>
        <v>1.5653850225458836</v>
      </c>
      <c r="BC413" s="41" t="str">
        <f t="shared" si="399"/>
        <v>-0,208653826312289+0,849441000766215i</v>
      </c>
      <c r="BD413">
        <f t="shared" si="400"/>
        <v>-1.1628949914424898</v>
      </c>
      <c r="BE413" s="43">
        <f t="shared" si="401"/>
        <v>103.80070642353189</v>
      </c>
      <c r="BF413" s="41" t="str">
        <f t="shared" si="402"/>
        <v>0,380849165349518+0,0929033969400095i</v>
      </c>
      <c r="BG413" s="20">
        <f t="shared" si="403"/>
        <v>-8.1339076465022089</v>
      </c>
      <c r="BH413" s="43">
        <f t="shared" si="404"/>
        <v>13.708857562325207</v>
      </c>
      <c r="BI413" s="41" t="str">
        <f t="shared" si="357"/>
        <v>0,296758044264155+0,556751893411195i</v>
      </c>
      <c r="BJ413" s="20">
        <f t="shared" si="405"/>
        <v>-4.0007545625391137</v>
      </c>
      <c r="BK413" s="43">
        <f t="shared" si="358"/>
        <v>61.941640139992543</v>
      </c>
      <c r="BL413">
        <f t="shared" si="406"/>
        <v>-8.1339076465022089</v>
      </c>
      <c r="BM413" s="43">
        <f t="shared" si="407"/>
        <v>13.708857562325207</v>
      </c>
    </row>
    <row r="414" spans="14:65" x14ac:dyDescent="0.25">
      <c r="N414" s="9">
        <v>96</v>
      </c>
      <c r="O414" s="34">
        <f t="shared" si="359"/>
        <v>91201.083935591028</v>
      </c>
      <c r="P414" s="33" t="str">
        <f t="shared" si="360"/>
        <v>54,631621870174</v>
      </c>
      <c r="Q414" s="4" t="str">
        <f t="shared" si="361"/>
        <v>1+2557,96348559387i</v>
      </c>
      <c r="R414" s="4">
        <f t="shared" si="373"/>
        <v>2557.9636810618595</v>
      </c>
      <c r="S414" s="4">
        <f t="shared" si="374"/>
        <v>1.5704053908199742</v>
      </c>
      <c r="T414" s="4" t="str">
        <f t="shared" si="362"/>
        <v>1+8,66426365601433i</v>
      </c>
      <c r="U414" s="4">
        <f t="shared" si="375"/>
        <v>8.7217810509626297</v>
      </c>
      <c r="V414" s="4">
        <f t="shared" si="376"/>
        <v>1.4558881403338346</v>
      </c>
      <c r="W414" t="str">
        <f t="shared" si="363"/>
        <v>1-2,28029371112144i</v>
      </c>
      <c r="X414" s="4">
        <f t="shared" si="377"/>
        <v>2.4899275911118357</v>
      </c>
      <c r="Y414" s="4">
        <f t="shared" si="378"/>
        <v>-1.1575133021266244</v>
      </c>
      <c r="Z414" t="str">
        <f t="shared" si="364"/>
        <v>0,966729449155893+0,313293912795355i</v>
      </c>
      <c r="AA414" s="4">
        <f t="shared" si="379"/>
        <v>1.0162277813855907</v>
      </c>
      <c r="AB414" s="4">
        <f t="shared" si="380"/>
        <v>0.3133960392774035</v>
      </c>
      <c r="AC414" s="47" t="str">
        <f t="shared" si="381"/>
        <v>-0,00667709040641569-0,456356324210933i</v>
      </c>
      <c r="AD414" s="20">
        <f t="shared" si="382"/>
        <v>-6.8129889150113412</v>
      </c>
      <c r="AE414" s="43">
        <f t="shared" si="383"/>
        <v>-90.838252443116588</v>
      </c>
      <c r="AF414" t="str">
        <f t="shared" si="365"/>
        <v>171,265703090588</v>
      </c>
      <c r="AG414" t="str">
        <f t="shared" si="366"/>
        <v>1+2533,483730435i</v>
      </c>
      <c r="AH414">
        <f t="shared" si="384"/>
        <v>2533.4839277916967</v>
      </c>
      <c r="AI414">
        <f t="shared" si="385"/>
        <v>1.5704016134063503</v>
      </c>
      <c r="AJ414" t="str">
        <f t="shared" si="367"/>
        <v>1+8,66426365601433i</v>
      </c>
      <c r="AK414">
        <f t="shared" si="386"/>
        <v>8.7217810509626297</v>
      </c>
      <c r="AL414">
        <f t="shared" si="387"/>
        <v>1.4558881403338346</v>
      </c>
      <c r="AM414" t="str">
        <f t="shared" si="368"/>
        <v>1-0,720423556694905i</v>
      </c>
      <c r="AN414">
        <f t="shared" si="388"/>
        <v>1.2324812781705599</v>
      </c>
      <c r="AO414">
        <f t="shared" si="389"/>
        <v>-0.624301946306831</v>
      </c>
      <c r="AP414" s="41" t="str">
        <f t="shared" si="390"/>
        <v>0,53720365079692-0,489349375132927i</v>
      </c>
      <c r="AQ414">
        <f t="shared" si="391"/>
        <v>-2.7732448147222777</v>
      </c>
      <c r="AR414" s="43">
        <f t="shared" si="392"/>
        <v>-42.331005369624506</v>
      </c>
      <c r="AS414" t="str">
        <f t="shared" si="369"/>
        <v>-0,0000166666666666667</v>
      </c>
      <c r="AT414" t="str">
        <f t="shared" si="370"/>
        <v>0,000878460065123674i</v>
      </c>
      <c r="AU414">
        <f t="shared" si="393"/>
        <v>8.7846006512367399E-4</v>
      </c>
      <c r="AV414">
        <f t="shared" si="394"/>
        <v>1.5707963267948966</v>
      </c>
      <c r="AW414" t="str">
        <f t="shared" si="371"/>
        <v>1+4,07066715737013i</v>
      </c>
      <c r="AX414">
        <f t="shared" si="395"/>
        <v>4.1916978786753951</v>
      </c>
      <c r="AY414">
        <f t="shared" si="396"/>
        <v>1.329906543982641</v>
      </c>
      <c r="AZ414" t="str">
        <f t="shared" si="372"/>
        <v>1+189,100992492376i</v>
      </c>
      <c r="BA414">
        <f t="shared" si="397"/>
        <v>189.10363656366221</v>
      </c>
      <c r="BB414">
        <f t="shared" si="398"/>
        <v>1.5655081965457525</v>
      </c>
      <c r="BC414" s="41" t="str">
        <f t="shared" si="399"/>
        <v>-0,199797335953542+0,83228104817198i</v>
      </c>
      <c r="BD414">
        <f t="shared" si="400"/>
        <v>-1.3512673159701791</v>
      </c>
      <c r="BE414" s="43">
        <f t="shared" si="401"/>
        <v>103.49898033817387</v>
      </c>
      <c r="BF414" s="41" t="str">
        <f t="shared" si="402"/>
        <v>0,38115078472931+0,0856215620207046i</v>
      </c>
      <c r="BG414" s="20">
        <f t="shared" si="403"/>
        <v>-8.1642562309815201</v>
      </c>
      <c r="BH414" s="43">
        <f t="shared" si="404"/>
        <v>12.660727895057274</v>
      </c>
      <c r="BI414" s="41" t="str">
        <f t="shared" si="357"/>
        <v>0,299944352564194+0,544875119069164i</v>
      </c>
      <c r="BJ414" s="20">
        <f t="shared" si="405"/>
        <v>-4.1245121306924624</v>
      </c>
      <c r="BK414" s="43">
        <f t="shared" si="358"/>
        <v>61.167974968549395</v>
      </c>
      <c r="BL414">
        <f t="shared" si="406"/>
        <v>-8.1642562309815201</v>
      </c>
      <c r="BM414" s="43">
        <f t="shared" si="407"/>
        <v>12.660727895057274</v>
      </c>
    </row>
    <row r="415" spans="14:65" x14ac:dyDescent="0.25">
      <c r="N415" s="9">
        <v>97</v>
      </c>
      <c r="O415" s="34">
        <f t="shared" si="359"/>
        <v>93325.430079699145</v>
      </c>
      <c r="P415" s="33" t="str">
        <f t="shared" si="360"/>
        <v>54,631621870174</v>
      </c>
      <c r="Q415" s="4" t="str">
        <f t="shared" si="361"/>
        <v>1+2617,54610931826i</v>
      </c>
      <c r="R415" s="4">
        <f t="shared" si="373"/>
        <v>2617.5463003368554</v>
      </c>
      <c r="S415" s="4">
        <f t="shared" si="374"/>
        <v>1.570414289608316</v>
      </c>
      <c r="T415" s="4" t="str">
        <f t="shared" si="362"/>
        <v>1+8,86608028247229i</v>
      </c>
      <c r="U415" s="4">
        <f t="shared" si="375"/>
        <v>8.9222967657013026</v>
      </c>
      <c r="V415" s="4">
        <f t="shared" si="376"/>
        <v>1.4584815766306158</v>
      </c>
      <c r="W415" t="str">
        <f t="shared" si="363"/>
        <v>1-2,33340857493244i</v>
      </c>
      <c r="X415" s="4">
        <f t="shared" si="377"/>
        <v>2.5386601934028588</v>
      </c>
      <c r="Y415" s="4">
        <f t="shared" si="378"/>
        <v>-1.1659162156123029</v>
      </c>
      <c r="Z415" t="str">
        <f t="shared" si="364"/>
        <v>0,965161456401757+0,320591465487705i</v>
      </c>
      <c r="AA415" s="4">
        <f t="shared" si="379"/>
        <v>1.0170130405590259</v>
      </c>
      <c r="AB415" s="4">
        <f t="shared" si="380"/>
        <v>0.32069738934069281</v>
      </c>
      <c r="AC415" s="47" t="str">
        <f t="shared" si="381"/>
        <v>-0,0128976784553156-0,464662044449565i</v>
      </c>
      <c r="AD415" s="20">
        <f t="shared" si="382"/>
        <v>-6.6539112553296285</v>
      </c>
      <c r="AE415" s="43">
        <f t="shared" si="383"/>
        <v>-91.589957373606794</v>
      </c>
      <c r="AF415" t="str">
        <f t="shared" si="365"/>
        <v>171,265703090588</v>
      </c>
      <c r="AG415" t="str">
        <f t="shared" si="366"/>
        <v>1+2592,49614741144i</v>
      </c>
      <c r="AH415">
        <f t="shared" si="384"/>
        <v>2592.4963402757498</v>
      </c>
      <c r="AI415">
        <f t="shared" si="385"/>
        <v>1.5704105981790979</v>
      </c>
      <c r="AJ415" t="str">
        <f t="shared" si="367"/>
        <v>1+8,86608028247229i</v>
      </c>
      <c r="AK415">
        <f t="shared" si="386"/>
        <v>8.9222967657013026</v>
      </c>
      <c r="AL415">
        <f t="shared" si="387"/>
        <v>1.4584815766306158</v>
      </c>
      <c r="AM415" t="str">
        <f t="shared" si="368"/>
        <v>1-0,737204377039873i</v>
      </c>
      <c r="AN415">
        <f t="shared" si="388"/>
        <v>1.242364798892317</v>
      </c>
      <c r="AO415">
        <f t="shared" si="389"/>
        <v>-0.63526148850911723</v>
      </c>
      <c r="AP415" s="41" t="str">
        <f t="shared" si="390"/>
        <v>0,537202453632558-0,497644142358433i</v>
      </c>
      <c r="AQ415">
        <f t="shared" si="391"/>
        <v>-2.706438966211802</v>
      </c>
      <c r="AR415" s="43">
        <f t="shared" si="392"/>
        <v>-42.810862718527758</v>
      </c>
      <c r="AS415" t="str">
        <f t="shared" si="369"/>
        <v>-0,0000166666666666667</v>
      </c>
      <c r="AT415" t="str">
        <f t="shared" si="370"/>
        <v>0,000898922028639551i</v>
      </c>
      <c r="AU415">
        <f t="shared" si="393"/>
        <v>8.9892202863955104E-4</v>
      </c>
      <c r="AV415">
        <f t="shared" si="394"/>
        <v>1.5707963267948966</v>
      </c>
      <c r="AW415" t="str">
        <f t="shared" si="371"/>
        <v>1+4,16548517604427i</v>
      </c>
      <c r="AX415">
        <f t="shared" si="395"/>
        <v>4.2838378531224262</v>
      </c>
      <c r="AY415">
        <f t="shared" si="396"/>
        <v>1.3351869813701125</v>
      </c>
      <c r="AZ415" t="str">
        <f t="shared" si="372"/>
        <v>1+193,505720450784i</v>
      </c>
      <c r="BA415">
        <f t="shared" si="397"/>
        <v>193.50830433647278</v>
      </c>
      <c r="BB415">
        <f t="shared" si="398"/>
        <v>1.5656285669181313</v>
      </c>
      <c r="BC415" s="41" t="str">
        <f t="shared" si="399"/>
        <v>-0,191294987658874+0,815377160942232i</v>
      </c>
      <c r="BD415">
        <f t="shared" si="400"/>
        <v>-1.5401338062879475</v>
      </c>
      <c r="BE415" s="43">
        <f t="shared" si="401"/>
        <v>103.20333027620447</v>
      </c>
      <c r="BF415" s="41" t="str">
        <f t="shared" si="402"/>
        <v>0,381342079841837+0,0783710476168857i</v>
      </c>
      <c r="BG415" s="20">
        <f t="shared" si="403"/>
        <v>-8.1940450616175813</v>
      </c>
      <c r="BH415" s="43">
        <f t="shared" si="404"/>
        <v>11.613372902597678</v>
      </c>
      <c r="BI415" s="41" t="str">
        <f t="shared" si="357"/>
        <v>0,303003531217794+0,533219441565084i</v>
      </c>
      <c r="BJ415" s="20">
        <f t="shared" si="405"/>
        <v>-4.2465727724997446</v>
      </c>
      <c r="BK415" s="43">
        <f t="shared" si="358"/>
        <v>60.392467557676731</v>
      </c>
      <c r="BL415">
        <f t="shared" si="406"/>
        <v>-8.1940450616175813</v>
      </c>
      <c r="BM415" s="43">
        <f t="shared" si="407"/>
        <v>11.613372902597678</v>
      </c>
    </row>
    <row r="416" spans="14:65" x14ac:dyDescent="0.25">
      <c r="N416" s="9">
        <v>98</v>
      </c>
      <c r="O416" s="34">
        <f t="shared" si="359"/>
        <v>95499.258602143804</v>
      </c>
      <c r="P416" s="33" t="str">
        <f t="shared" si="360"/>
        <v>54,631621870174</v>
      </c>
      <c r="Q416" s="4" t="str">
        <f t="shared" si="361"/>
        <v>1+2678,51659063713i</v>
      </c>
      <c r="R416" s="4">
        <f t="shared" si="373"/>
        <v>2678.5167773076123</v>
      </c>
      <c r="S416" s="4">
        <f t="shared" si="374"/>
        <v>1.5704229858355632</v>
      </c>
      <c r="T416" s="4" t="str">
        <f t="shared" si="362"/>
        <v>1+9,07259782205248i</v>
      </c>
      <c r="U416" s="4">
        <f t="shared" si="375"/>
        <v>9.1275424535146055</v>
      </c>
      <c r="V416" s="4">
        <f t="shared" si="376"/>
        <v>1.4610174460232106</v>
      </c>
      <c r="W416" t="str">
        <f t="shared" si="363"/>
        <v>1-2,38776064285619i</v>
      </c>
      <c r="X416" s="4">
        <f t="shared" si="377"/>
        <v>2.5887064120083232</v>
      </c>
      <c r="Y416" s="4">
        <f t="shared" si="378"/>
        <v>-1.1741867515036124</v>
      </c>
      <c r="Z416" t="str">
        <f t="shared" si="364"/>
        <v>0,963519566425763+0,328059000018586i</v>
      </c>
      <c r="AA416" s="4">
        <f t="shared" si="379"/>
        <v>1.0178372474902286</v>
      </c>
      <c r="AB416" s="4">
        <f t="shared" si="380"/>
        <v>0.32816857353588152</v>
      </c>
      <c r="AC416" s="47" t="str">
        <f t="shared" si="381"/>
        <v>-0,0193907512286936-0,473089760979363i</v>
      </c>
      <c r="AD416" s="20">
        <f t="shared" si="382"/>
        <v>-6.4938391184405617</v>
      </c>
      <c r="AE416" s="43">
        <f t="shared" si="383"/>
        <v>-92.347095140366235</v>
      </c>
      <c r="AF416" t="str">
        <f t="shared" si="365"/>
        <v>171,265703090588</v>
      </c>
      <c r="AG416" t="str">
        <f t="shared" si="366"/>
        <v>1+2652,88314016098i</v>
      </c>
      <c r="AH416">
        <f t="shared" si="384"/>
        <v>2652.8833286351633</v>
      </c>
      <c r="AI416">
        <f t="shared" si="385"/>
        <v>1.570419378433509</v>
      </c>
      <c r="AJ416" t="str">
        <f t="shared" si="367"/>
        <v>1+9,07259782205248i</v>
      </c>
      <c r="AK416">
        <f t="shared" si="386"/>
        <v>9.1275424535146055</v>
      </c>
      <c r="AL416">
        <f t="shared" si="387"/>
        <v>1.4610174460232106</v>
      </c>
      <c r="AM416" t="str">
        <f t="shared" si="368"/>
        <v>1-0,754376072903602i</v>
      </c>
      <c r="AN416">
        <f t="shared" si="388"/>
        <v>1.2526305358602194</v>
      </c>
      <c r="AO416">
        <f t="shared" si="389"/>
        <v>-0.64629591762172334</v>
      </c>
      <c r="AP416" s="41" t="str">
        <f t="shared" si="390"/>
        <v>0,537201310349454-0,506202767053739i</v>
      </c>
      <c r="AQ416">
        <f t="shared" si="391"/>
        <v>-2.6374178538341884</v>
      </c>
      <c r="AR416" s="43">
        <f t="shared" si="392"/>
        <v>-43.298297393945049</v>
      </c>
      <c r="AS416" t="str">
        <f t="shared" si="369"/>
        <v>-0,0000166666666666667</v>
      </c>
      <c r="AT416" t="str">
        <f t="shared" si="370"/>
        <v>0,000919860612513653i</v>
      </c>
      <c r="AU416">
        <f t="shared" si="393"/>
        <v>9.1986061251365296E-4</v>
      </c>
      <c r="AV416">
        <f t="shared" si="394"/>
        <v>1.5707963267948966</v>
      </c>
      <c r="AW416" t="str">
        <f t="shared" si="371"/>
        <v>1+4,26251179009548i</v>
      </c>
      <c r="AX416">
        <f t="shared" si="395"/>
        <v>4.378242428269929</v>
      </c>
      <c r="AY416">
        <f t="shared" si="396"/>
        <v>1.3403601898856949</v>
      </c>
      <c r="AZ416" t="str">
        <f t="shared" si="372"/>
        <v>1+198,013047703526i</v>
      </c>
      <c r="BA416">
        <f t="shared" si="397"/>
        <v>198.01557277355454</v>
      </c>
      <c r="BB416">
        <f t="shared" si="398"/>
        <v>1.5657461974710247</v>
      </c>
      <c r="BC416" s="41" t="str">
        <f t="shared" si="399"/>
        <v>-0,183134441478492+0,798731403132152i</v>
      </c>
      <c r="BD416">
        <f t="shared" si="400"/>
        <v>-1.7294746506651257</v>
      </c>
      <c r="BE416" s="43">
        <f t="shared" si="401"/>
        <v>102.91366699594293</v>
      </c>
      <c r="BF416" s="41" t="str">
        <f t="shared" si="402"/>
        <v>0,381422762990616+0,071151027209468i</v>
      </c>
      <c r="BG416" s="20">
        <f t="shared" si="403"/>
        <v>-8.2233137691056939</v>
      </c>
      <c r="BH416" s="43">
        <f t="shared" si="404"/>
        <v>10.566571855576706</v>
      </c>
      <c r="BI416" s="41" t="str">
        <f t="shared" si="357"/>
        <v>0,30593998446585+0,521782717399104i</v>
      </c>
      <c r="BJ416" s="20">
        <f t="shared" si="405"/>
        <v>-4.3668925044993081</v>
      </c>
      <c r="BK416" s="43">
        <f t="shared" si="358"/>
        <v>59.615369601997863</v>
      </c>
      <c r="BL416">
        <f t="shared" si="406"/>
        <v>-8.2233137691056939</v>
      </c>
      <c r="BM416" s="43">
        <f t="shared" si="407"/>
        <v>10.566571855576706</v>
      </c>
    </row>
    <row r="417" spans="14:65" x14ac:dyDescent="0.25">
      <c r="N417" s="9">
        <v>99</v>
      </c>
      <c r="O417" s="34">
        <f t="shared" si="359"/>
        <v>97723.722095581266</v>
      </c>
      <c r="P417" s="33" t="str">
        <f t="shared" si="360"/>
        <v>54,631621870174</v>
      </c>
      <c r="Q417" s="4" t="str">
        <f t="shared" si="361"/>
        <v>1+2740,90725690671i</v>
      </c>
      <c r="R417" s="4">
        <f t="shared" si="373"/>
        <v>2740.9074393280534</v>
      </c>
      <c r="S417" s="4">
        <f t="shared" si="374"/>
        <v>1.5704314841125657</v>
      </c>
      <c r="T417" s="4" t="str">
        <f t="shared" si="362"/>
        <v>1+9,28392577308792i</v>
      </c>
      <c r="U417" s="4">
        <f t="shared" si="375"/>
        <v>9.3376269876348204</v>
      </c>
      <c r="V417" s="4">
        <f t="shared" si="376"/>
        <v>1.4634969625344116</v>
      </c>
      <c r="W417" t="str">
        <f t="shared" si="363"/>
        <v>1-2,44337873307853i</v>
      </c>
      <c r="X417" s="4">
        <f t="shared" si="377"/>
        <v>2.6400946258156055</v>
      </c>
      <c r="Y417" s="4">
        <f t="shared" si="378"/>
        <v>-1.1823247681428439</v>
      </c>
      <c r="Z417" t="str">
        <f t="shared" si="364"/>
        <v>0,961800296559142+0,335700475773651i</v>
      </c>
      <c r="AA417" s="4">
        <f t="shared" si="379"/>
        <v>1.0187024196966989</v>
      </c>
      <c r="AB417" s="4">
        <f t="shared" si="380"/>
        <v>0.33581349102581382</v>
      </c>
      <c r="AC417" s="47" t="str">
        <f t="shared" si="381"/>
        <v>-0,0261671613276572-0,48163538338234i</v>
      </c>
      <c r="AD417" s="20">
        <f t="shared" si="382"/>
        <v>-6.3328319888865092</v>
      </c>
      <c r="AE417" s="43">
        <f t="shared" si="383"/>
        <v>-93.109811738380856</v>
      </c>
      <c r="AF417" t="str">
        <f t="shared" si="365"/>
        <v>171,265703090588</v>
      </c>
      <c r="AG417" t="str">
        <f t="shared" si="366"/>
        <v>1+2714,67672666649i</v>
      </c>
      <c r="AH417">
        <f t="shared" si="384"/>
        <v>2714.6769108504773</v>
      </c>
      <c r="AI417">
        <f t="shared" si="385"/>
        <v>1.570427958824985</v>
      </c>
      <c r="AJ417" t="str">
        <f t="shared" si="367"/>
        <v>1+9,28392577308792i</v>
      </c>
      <c r="AK417">
        <f t="shared" si="386"/>
        <v>9.3376269876348204</v>
      </c>
      <c r="AL417">
        <f t="shared" si="387"/>
        <v>1.4634969625344116</v>
      </c>
      <c r="AM417" t="str">
        <f t="shared" si="368"/>
        <v>1-0,77194774894653i</v>
      </c>
      <c r="AN417">
        <f t="shared" si="388"/>
        <v>1.2632906740349248</v>
      </c>
      <c r="AO417">
        <f t="shared" si="389"/>
        <v>-0.65740033631969297</v>
      </c>
      <c r="AP417" s="41" t="str">
        <f t="shared" si="390"/>
        <v>0,537200218522553-0,515029787117722i</v>
      </c>
      <c r="AQ417">
        <f t="shared" si="391"/>
        <v>-2.5661587241659793</v>
      </c>
      <c r="AR417" s="43">
        <f t="shared" si="392"/>
        <v>-43.792959508178257</v>
      </c>
      <c r="AS417" t="str">
        <f t="shared" si="369"/>
        <v>-0,0000166666666666667</v>
      </c>
      <c r="AT417" t="str">
        <f t="shared" si="370"/>
        <v>0,000941286918660303i</v>
      </c>
      <c r="AU417">
        <f t="shared" si="393"/>
        <v>9.4128691866030305E-4</v>
      </c>
      <c r="AV417">
        <f t="shared" si="394"/>
        <v>1.5707963267948966</v>
      </c>
      <c r="AW417" t="str">
        <f t="shared" si="371"/>
        <v>1+4,36179844431879i</v>
      </c>
      <c r="AX417">
        <f t="shared" si="395"/>
        <v>4.4749620857457355</v>
      </c>
      <c r="AY417">
        <f t="shared" si="396"/>
        <v>1.3454278043782146</v>
      </c>
      <c r="AZ417" t="str">
        <f t="shared" si="372"/>
        <v>1+202,625364095173i</v>
      </c>
      <c r="BA417">
        <f t="shared" si="397"/>
        <v>202.6278316882985</v>
      </c>
      <c r="BB417">
        <f t="shared" si="398"/>
        <v>1.5658611505606799</v>
      </c>
      <c r="BC417" s="41" t="str">
        <f t="shared" si="399"/>
        <v>-0,175303633859137+0,782345372935407i</v>
      </c>
      <c r="BD417">
        <f t="shared" si="400"/>
        <v>-1.9192707320461146</v>
      </c>
      <c r="BE417" s="43">
        <f t="shared" si="401"/>
        <v>102.62990040020144</v>
      </c>
      <c r="BF417" s="41" t="str">
        <f t="shared" si="402"/>
        <v>0,381392412099661+0,0639606753145159i</v>
      </c>
      <c r="BG417" s="20">
        <f t="shared" si="403"/>
        <v>-8.2521027209326245</v>
      </c>
      <c r="BH417" s="43">
        <f t="shared" si="404"/>
        <v>9.5200886618205764</v>
      </c>
      <c r="BI417" s="41" t="str">
        <f t="shared" si="357"/>
        <v>0,308758020458531+0,510562698528443i</v>
      </c>
      <c r="BJ417" s="20">
        <f t="shared" si="405"/>
        <v>-4.4854294562120982</v>
      </c>
      <c r="BK417" s="43">
        <f t="shared" si="358"/>
        <v>58.836940892023215</v>
      </c>
      <c r="BL417">
        <f t="shared" si="406"/>
        <v>-8.2521027209326245</v>
      </c>
      <c r="BM417" s="43">
        <f t="shared" si="407"/>
        <v>9.5200886618205764</v>
      </c>
    </row>
    <row r="418" spans="14:65" x14ac:dyDescent="0.25">
      <c r="N418" s="9">
        <v>100</v>
      </c>
      <c r="O418" s="34">
        <f t="shared" si="359"/>
        <v>100000</v>
      </c>
      <c r="P418" s="33" t="str">
        <f t="shared" si="360"/>
        <v>54,631621870174</v>
      </c>
      <c r="Q418" s="4" t="str">
        <f t="shared" si="361"/>
        <v>1+2804,7511884841i</v>
      </c>
      <c r="R418" s="4">
        <f t="shared" si="373"/>
        <v>2804.7513667530266</v>
      </c>
      <c r="S418" s="4">
        <f t="shared" si="374"/>
        <v>1.5704397889452175</v>
      </c>
      <c r="T418" s="4" t="str">
        <f t="shared" si="362"/>
        <v>1+9,50017618445555i</v>
      </c>
      <c r="U418" s="4">
        <f t="shared" si="375"/>
        <v>9.5526618036909685</v>
      </c>
      <c r="V418" s="4">
        <f t="shared" si="376"/>
        <v>1.465921318817802</v>
      </c>
      <c r="W418" t="str">
        <f t="shared" si="363"/>
        <v>1-2,50029233504708i</v>
      </c>
      <c r="X418" s="4">
        <f t="shared" si="377"/>
        <v>2.6928538320330682</v>
      </c>
      <c r="Y418" s="4">
        <f t="shared" si="378"/>
        <v>-1.1903302676937044</v>
      </c>
      <c r="Z418" t="str">
        <f t="shared" si="364"/>
        <v>0,96+0,343519944364491i</v>
      </c>
      <c r="AA418" s="4">
        <f t="shared" si="379"/>
        <v>1.0196106865741368</v>
      </c>
      <c r="AB418" s="4">
        <f t="shared" si="380"/>
        <v>0.34363612309566416</v>
      </c>
      <c r="AC418" s="47" t="str">
        <f t="shared" si="381"/>
        <v>-0,0332380817004034-0,490294314912729i</v>
      </c>
      <c r="AD418" s="20">
        <f t="shared" si="382"/>
        <v>-6.1709494024572074</v>
      </c>
      <c r="AE418" s="43">
        <f t="shared" si="383"/>
        <v>-93.878267326611464</v>
      </c>
      <c r="AF418" t="str">
        <f t="shared" si="365"/>
        <v>171,265703090588</v>
      </c>
      <c r="AG418" t="str">
        <f t="shared" si="366"/>
        <v>1+2777,90967070547i</v>
      </c>
      <c r="AH418">
        <f t="shared" si="384"/>
        <v>2777.9098506969181</v>
      </c>
      <c r="AI418">
        <f t="shared" si="385"/>
        <v>1.5704363439029583</v>
      </c>
      <c r="AJ418" t="str">
        <f t="shared" si="367"/>
        <v>1+9,50017618445555i</v>
      </c>
      <c r="AK418">
        <f t="shared" si="386"/>
        <v>9.5526618036909685</v>
      </c>
      <c r="AL418">
        <f t="shared" si="387"/>
        <v>1.465921318817802</v>
      </c>
      <c r="AM418" t="str">
        <f t="shared" si="368"/>
        <v>1-0,789928721903887i</v>
      </c>
      <c r="AN418">
        <f t="shared" si="388"/>
        <v>1.2743576364932681</v>
      </c>
      <c r="AO418">
        <f t="shared" si="389"/>
        <v>-0.66856967865532613</v>
      </c>
      <c r="AP418" s="41" t="str">
        <f t="shared" si="390"/>
        <v>0,537199175835943-0,524129882755844i</v>
      </c>
      <c r="AQ418">
        <f t="shared" si="391"/>
        <v>-2.4926403544935303</v>
      </c>
      <c r="AR418" s="43">
        <f t="shared" si="392"/>
        <v>-44.294490730451244</v>
      </c>
      <c r="AS418" t="str">
        <f t="shared" si="369"/>
        <v>-0,0000166666666666667</v>
      </c>
      <c r="AT418" t="str">
        <f t="shared" si="370"/>
        <v>0,000963212307590631i</v>
      </c>
      <c r="AU418">
        <f t="shared" si="393"/>
        <v>9.6321230759063099E-4</v>
      </c>
      <c r="AV418">
        <f t="shared" si="394"/>
        <v>1.5707963267948966</v>
      </c>
      <c r="AW418" t="str">
        <f t="shared" si="371"/>
        <v>1+4,46339778181251i</v>
      </c>
      <c r="AX418">
        <f t="shared" si="395"/>
        <v>4.5740485085631573</v>
      </c>
      <c r="AY418">
        <f t="shared" si="396"/>
        <v>1.3503914701798443</v>
      </c>
      <c r="AZ418" t="str">
        <f t="shared" si="372"/>
        <v>1+207,345115136926i</v>
      </c>
      <c r="BA418">
        <f t="shared" si="397"/>
        <v>207.34752656143527</v>
      </c>
      <c r="BB418">
        <f t="shared" si="398"/>
        <v>1.5659734871245876</v>
      </c>
      <c r="BC418" s="41" t="str">
        <f t="shared" si="399"/>
        <v>-0,167790785325084+0,766220230932438i</v>
      </c>
      <c r="BD418">
        <f t="shared" si="400"/>
        <v>-2.1095036121005908</v>
      </c>
      <c r="BE418" s="43">
        <f t="shared" si="401"/>
        <v>102.35193970985162</v>
      </c>
      <c r="BF418" s="41" t="str">
        <f t="shared" si="402"/>
        <v>0,381250467028503+0,0567991775033965i</v>
      </c>
      <c r="BG418" s="20">
        <f t="shared" si="403"/>
        <v>-8.2804530145577893</v>
      </c>
      <c r="BH418" s="43">
        <f t="shared" si="404"/>
        <v>8.4736723832401495</v>
      </c>
      <c r="BI418" s="41" t="str">
        <f t="shared" si="357"/>
        <v>0,311461848214274+0,499557041205679i</v>
      </c>
      <c r="BJ418" s="20">
        <f t="shared" si="405"/>
        <v>-4.6021439665941157</v>
      </c>
      <c r="BK418" s="43">
        <f t="shared" si="358"/>
        <v>58.057448979400363</v>
      </c>
      <c r="BL418">
        <f t="shared" si="406"/>
        <v>-8.2804530145577893</v>
      </c>
      <c r="BM418" s="43">
        <f t="shared" si="407"/>
        <v>8.4736723832401495</v>
      </c>
    </row>
    <row r="419" spans="14:65" x14ac:dyDescent="0.25">
      <c r="N419" s="9">
        <v>1</v>
      </c>
      <c r="O419" s="34">
        <f>10^(5+(N419/100))</f>
        <v>102329.29922807543</v>
      </c>
      <c r="P419" s="33" t="str">
        <f t="shared" si="360"/>
        <v>54,631621870174</v>
      </c>
      <c r="Q419" s="4" t="str">
        <f t="shared" si="361"/>
        <v>1+2870,08223626689i</v>
      </c>
      <c r="R419" s="4">
        <f t="shared" si="373"/>
        <v>2870.0824104779208</v>
      </c>
      <c r="S419" s="4">
        <f t="shared" si="374"/>
        <v>1.5704479047368463</v>
      </c>
      <c r="T419" s="4" t="str">
        <f t="shared" si="362"/>
        <v>1+9,72146371498587i</v>
      </c>
      <c r="U419" s="4">
        <f t="shared" si="375"/>
        <v>9.7727609590016513</v>
      </c>
      <c r="V419" s="4">
        <f t="shared" si="376"/>
        <v>1.4682916862437381</v>
      </c>
      <c r="W419" t="str">
        <f t="shared" si="363"/>
        <v>1-2,55853162510696i</v>
      </c>
      <c r="X419" s="4">
        <f t="shared" si="377"/>
        <v>2.7470136651775983</v>
      </c>
      <c r="Y419" s="4">
        <f t="shared" si="378"/>
        <v>-1.1982033892828716</v>
      </c>
      <c r="Z419" t="str">
        <f t="shared" si="364"/>
        <v>0,958114858077964+0,351521551776859i</v>
      </c>
      <c r="AA419" s="4">
        <f t="shared" si="379"/>
        <v>1.0205642961780352</v>
      </c>
      <c r="AB419" s="4">
        <f t="shared" si="380"/>
        <v>0.3516405339171691</v>
      </c>
      <c r="AC419" s="47" t="str">
        <f t="shared" si="381"/>
        <v>-0,0406150026182565-0,499061415005847i</v>
      </c>
      <c r="AD419" s="20">
        <f t="shared" si="382"/>
        <v>-6.0082509620574847</v>
      </c>
      <c r="AE419" s="43">
        <f t="shared" si="383"/>
        <v>-94.652635874031517</v>
      </c>
      <c r="AF419" t="str">
        <f t="shared" si="365"/>
        <v>171,265703090588</v>
      </c>
      <c r="AG419" t="str">
        <f t="shared" si="366"/>
        <v>1+2842,61549922185i</v>
      </c>
      <c r="AH419">
        <f t="shared" si="384"/>
        <v>2842.6156751161925</v>
      </c>
      <c r="AI419">
        <f t="shared" si="385"/>
        <v>1.5704445381133032</v>
      </c>
      <c r="AJ419" t="str">
        <f t="shared" si="367"/>
        <v>1+9,72146371498587i</v>
      </c>
      <c r="AK419">
        <f t="shared" si="386"/>
        <v>9.7727609590016513</v>
      </c>
      <c r="AL419">
        <f t="shared" si="387"/>
        <v>1.4682916862437381</v>
      </c>
      <c r="AM419" t="str">
        <f t="shared" si="368"/>
        <v>1-0,80832852552554i</v>
      </c>
      <c r="AN419">
        <f t="shared" si="388"/>
        <v>1.2858440827636504</v>
      </c>
      <c r="AO419">
        <f t="shared" si="389"/>
        <v>-0.67979871993279561</v>
      </c>
      <c r="AP419" s="41" t="str">
        <f t="shared" si="390"/>
        <v>0,537198180077947-0,533507878961686i</v>
      </c>
      <c r="AQ419">
        <f t="shared" si="391"/>
        <v>-2.4168431603261595</v>
      </c>
      <c r="AR419" s="43">
        <f t="shared" si="392"/>
        <v>-44.802524847896244</v>
      </c>
      <c r="AS419" t="str">
        <f t="shared" si="369"/>
        <v>-0,0000166666666666667</v>
      </c>
      <c r="AT419" t="str">
        <f t="shared" si="370"/>
        <v>0,000985648404436067i</v>
      </c>
      <c r="AU419">
        <f t="shared" si="393"/>
        <v>9.8564840443606709E-4</v>
      </c>
      <c r="AV419">
        <f t="shared" si="394"/>
        <v>1.5707963267948966</v>
      </c>
      <c r="AW419" t="str">
        <f t="shared" si="371"/>
        <v>1+4,5673636718902i</v>
      </c>
      <c r="AX419">
        <f t="shared" si="395"/>
        <v>4.6755546100224654</v>
      </c>
      <c r="AY419">
        <f t="shared" si="396"/>
        <v>1.3552528402929274</v>
      </c>
      <c r="AZ419" t="str">
        <f t="shared" si="372"/>
        <v>1+212,174803303263i</v>
      </c>
      <c r="BA419">
        <f t="shared" si="397"/>
        <v>212.17715983766573</v>
      </c>
      <c r="BB419">
        <f t="shared" si="398"/>
        <v>1.5660832667137334</v>
      </c>
      <c r="BC419" s="41" t="str">
        <f t="shared" si="399"/>
        <v>-0,160584406546594+0,750356727447518i</v>
      </c>
      <c r="BD419">
        <f t="shared" si="400"/>
        <v>-2.3001555148809469</v>
      </c>
      <c r="BE419" s="43">
        <f t="shared" si="401"/>
        <v>102.07969362685563</v>
      </c>
      <c r="BF419" s="41" t="str">
        <f t="shared" si="402"/>
        <v>0,380996226251456+0,0496657407091101i</v>
      </c>
      <c r="BG419" s="20">
        <f t="shared" si="403"/>
        <v>-8.3084064769384334</v>
      </c>
      <c r="BH419" s="43">
        <f t="shared" si="404"/>
        <v>7.4270577528241173</v>
      </c>
      <c r="BI419" s="41" t="str">
        <f t="shared" si="357"/>
        <v>0,31405557517943+0,488763314525045i</v>
      </c>
      <c r="BJ419" s="20">
        <f t="shared" si="405"/>
        <v>-4.7169986752071074</v>
      </c>
      <c r="BK419" s="43">
        <f t="shared" si="358"/>
        <v>57.277168778959371</v>
      </c>
      <c r="BL419">
        <f t="shared" si="406"/>
        <v>-8.3084064769384334</v>
      </c>
      <c r="BM419" s="43">
        <f t="shared" si="407"/>
        <v>7.4270577528241173</v>
      </c>
    </row>
    <row r="420" spans="14:65" x14ac:dyDescent="0.25">
      <c r="N420" s="9">
        <v>2</v>
      </c>
      <c r="O420" s="34">
        <f t="shared" ref="O420:O483" si="408">10^(5+(N420/100))</f>
        <v>104712.85480508996</v>
      </c>
      <c r="P420" s="33" t="str">
        <f t="shared" si="360"/>
        <v>54,631621870174</v>
      </c>
      <c r="Q420" s="4" t="str">
        <f t="shared" si="361"/>
        <v>1+2936,93503964139i</v>
      </c>
      <c r="R420" s="4">
        <f t="shared" si="373"/>
        <v>2936.9352098868935</v>
      </c>
      <c r="S420" s="4">
        <f t="shared" si="374"/>
        <v>1.5704558357905476</v>
      </c>
      <c r="T420" s="4" t="str">
        <f t="shared" si="362"/>
        <v>1+9,94790569425667i</v>
      </c>
      <c r="U420" s="4">
        <f t="shared" si="375"/>
        <v>9.9980411932450188</v>
      </c>
      <c r="V420" s="4">
        <f t="shared" si="376"/>
        <v>1.4706092150082273</v>
      </c>
      <c r="W420" t="str">
        <f t="shared" si="363"/>
        <v>1-2,61812748250064i</v>
      </c>
      <c r="X420" s="4">
        <f t="shared" si="377"/>
        <v>2.8026044163643826</v>
      </c>
      <c r="Y420" s="4">
        <f t="shared" si="378"/>
        <v>-1.2059444021221302</v>
      </c>
      <c r="Z420" t="str">
        <f t="shared" si="364"/>
        <v>0,956140872154272+0,359709540568916i</v>
      </c>
      <c r="AA420" s="4">
        <f t="shared" si="379"/>
        <v>1.0215656224541978</v>
      </c>
      <c r="AB420" s="4">
        <f t="shared" si="380"/>
        <v>0.35983087119118901</v>
      </c>
      <c r="AC420" s="47" t="str">
        <f t="shared" si="381"/>
        <v>-0,0483097268355669-0,507930959728749i</v>
      </c>
      <c r="AD420" s="20">
        <f t="shared" si="382"/>
        <v>-5.8447963602968054</v>
      </c>
      <c r="AE420" s="43">
        <f t="shared" si="383"/>
        <v>-95.433104796266235</v>
      </c>
      <c r="AF420" t="str">
        <f t="shared" si="365"/>
        <v>171,265703090588</v>
      </c>
      <c r="AG420" t="str">
        <f t="shared" si="366"/>
        <v>1+2908,82852010238i</v>
      </c>
      <c r="AH420">
        <f t="shared" si="384"/>
        <v>2908.8286919928792</v>
      </c>
      <c r="AI420">
        <f t="shared" si="385"/>
        <v>1.5704525458006944</v>
      </c>
      <c r="AJ420" t="str">
        <f t="shared" si="367"/>
        <v>1+9,94790569425667i</v>
      </c>
      <c r="AK420">
        <f t="shared" si="386"/>
        <v>9.9980411932450188</v>
      </c>
      <c r="AL420">
        <f t="shared" si="387"/>
        <v>1.4706092150082273</v>
      </c>
      <c r="AM420" t="str">
        <f t="shared" si="368"/>
        <v>1-0,82715691563092i</v>
      </c>
      <c r="AN420">
        <f t="shared" si="388"/>
        <v>1.2977629071121031</v>
      </c>
      <c r="AO420">
        <f t="shared" si="389"/>
        <v>-0.69108208749227762</v>
      </c>
      <c r="AP420" s="41" t="str">
        <f t="shared" si="390"/>
        <v>0,537197229136435-0,543168748075227i</v>
      </c>
      <c r="AQ420">
        <f t="shared" si="391"/>
        <v>-2.3387492972674511</v>
      </c>
      <c r="AR420" s="43">
        <f t="shared" si="392"/>
        <v>-45.316688377335161</v>
      </c>
      <c r="AS420" t="str">
        <f t="shared" si="369"/>
        <v>-0,0000166666666666667</v>
      </c>
      <c r="AT420" t="str">
        <f t="shared" si="370"/>
        <v>0,00100860710511213i</v>
      </c>
      <c r="AU420">
        <f t="shared" si="393"/>
        <v>1.0086071051121301E-3</v>
      </c>
      <c r="AV420">
        <f t="shared" si="394"/>
        <v>1.5707963267948966</v>
      </c>
      <c r="AW420" t="str">
        <f t="shared" si="371"/>
        <v>1+4,67375123864293i</v>
      </c>
      <c r="AX420">
        <f t="shared" si="395"/>
        <v>4.7795345631887969</v>
      </c>
      <c r="AY420">
        <f t="shared" si="396"/>
        <v>1.3600135727539666</v>
      </c>
      <c r="AZ420" t="str">
        <f t="shared" si="372"/>
        <v>1+217,116989358776i</v>
      </c>
      <c r="BA420">
        <f t="shared" si="397"/>
        <v>217.11929225248241</v>
      </c>
      <c r="BB420">
        <f t="shared" si="398"/>
        <v>1.5661905475241185</v>
      </c>
      <c r="BC420" s="41" t="str">
        <f t="shared" si="399"/>
        <v>-0,153673302925186+0,734755228975501i</v>
      </c>
      <c r="BD420">
        <f t="shared" si="400"/>
        <v>-2.4912093101764121</v>
      </c>
      <c r="BE420" s="43">
        <f t="shared" si="401"/>
        <v>101.81307048710497</v>
      </c>
      <c r="BF420" s="41" t="str">
        <f t="shared" si="402"/>
        <v>0,380628843905478+0,0425596038366656i</v>
      </c>
      <c r="BG420" s="20">
        <f t="shared" si="403"/>
        <v>-8.3360056704732202</v>
      </c>
      <c r="BH420" s="43">
        <f t="shared" si="404"/>
        <v>6.3799656908387297</v>
      </c>
      <c r="BI420" s="41" t="str">
        <f t="shared" si="357"/>
        <v>0,316543205340696+0,478179008661604i</v>
      </c>
      <c r="BJ420" s="20">
        <f t="shared" si="405"/>
        <v>-4.8299586074438681</v>
      </c>
      <c r="BK420" s="43">
        <f t="shared" si="358"/>
        <v>56.496382109769762</v>
      </c>
      <c r="BL420">
        <f t="shared" si="406"/>
        <v>-8.3360056704732202</v>
      </c>
      <c r="BM420" s="43">
        <f t="shared" si="407"/>
        <v>6.3799656908387297</v>
      </c>
    </row>
    <row r="421" spans="14:65" x14ac:dyDescent="0.25">
      <c r="N421" s="9">
        <v>3</v>
      </c>
      <c r="O421" s="34">
        <f t="shared" si="408"/>
        <v>107151.93052376082</v>
      </c>
      <c r="P421" s="33" t="str">
        <f t="shared" si="360"/>
        <v>54,631621870174</v>
      </c>
      <c r="Q421" s="4" t="str">
        <f t="shared" si="361"/>
        <v>1+3005,34504484883i</v>
      </c>
      <c r="R421" s="4">
        <f t="shared" si="373"/>
        <v>3005.3452112190735</v>
      </c>
      <c r="S421" s="4">
        <f t="shared" si="374"/>
        <v>1.5704635863114673</v>
      </c>
      <c r="T421" s="4" t="str">
        <f t="shared" si="362"/>
        <v>1+10,1796221848027i</v>
      </c>
      <c r="U421" s="4">
        <f t="shared" si="375"/>
        <v>10.228621990538475</v>
      </c>
      <c r="V421" s="4">
        <f t="shared" si="376"/>
        <v>1.4728750342627097</v>
      </c>
      <c r="W421" t="str">
        <f t="shared" si="363"/>
        <v>1-2,67911150574056i</v>
      </c>
      <c r="X421" s="4">
        <f t="shared" si="377"/>
        <v>2.8596570528983802</v>
      </c>
      <c r="Y421" s="4">
        <f t="shared" si="378"/>
        <v>-1.2135536986445077</v>
      </c>
      <c r="Z421" t="str">
        <f t="shared" si="364"/>
        <v>0,954073855140124+0,368088252120702i</v>
      </c>
      <c r="AA421" s="4">
        <f t="shared" si="379"/>
        <v>1.0226171729494924</v>
      </c>
      <c r="AB421" s="4">
        <f t="shared" si="380"/>
        <v>0.36821136665003384</v>
      </c>
      <c r="AC421" s="47" t="str">
        <f t="shared" si="381"/>
        <v>-0,0563343627030403-0,516896600121569i</v>
      </c>
      <c r="AD421" s="20">
        <f t="shared" si="382"/>
        <v>-5.6806454087712908</v>
      </c>
      <c r="AE421" s="43">
        <f t="shared" si="383"/>
        <v>-96.219874583798955</v>
      </c>
      <c r="AF421" t="str">
        <f t="shared" si="365"/>
        <v>171,265703090588</v>
      </c>
      <c r="AG421" t="str">
        <f t="shared" si="366"/>
        <v>1+2976,58384036716i</v>
      </c>
      <c r="AH421">
        <f t="shared" si="384"/>
        <v>2976.5840083449534</v>
      </c>
      <c r="AI421">
        <f t="shared" si="385"/>
        <v>1.5704603712109093</v>
      </c>
      <c r="AJ421" t="str">
        <f t="shared" si="367"/>
        <v>1+10,1796221848027i</v>
      </c>
      <c r="AK421">
        <f t="shared" si="386"/>
        <v>10.228621990538475</v>
      </c>
      <c r="AL421">
        <f t="shared" si="387"/>
        <v>1.4728750342627097</v>
      </c>
      <c r="AM421" t="str">
        <f t="shared" si="368"/>
        <v>1-0,846423875281684i</v>
      </c>
      <c r="AN421">
        <f t="shared" si="388"/>
        <v>1.3101272368158994</v>
      </c>
      <c r="AO421">
        <f t="shared" si="389"/>
        <v>-0.70241427235949816</v>
      </c>
      <c r="AP421" s="41" t="str">
        <f t="shared" si="390"/>
        <v>0,537196320994332-0,553117612419253i</v>
      </c>
      <c r="AQ421">
        <f t="shared" si="391"/>
        <v>-2.2583427565137191</v>
      </c>
      <c r="AR421" s="43">
        <f t="shared" si="392"/>
        <v>-45.83660122544596</v>
      </c>
      <c r="AS421" t="str">
        <f t="shared" si="369"/>
        <v>-0,0000166666666666667</v>
      </c>
      <c r="AT421" t="str">
        <f t="shared" si="370"/>
        <v>0,00103210058262583i</v>
      </c>
      <c r="AU421">
        <f t="shared" si="393"/>
        <v>1.0321005826258299E-3</v>
      </c>
      <c r="AV421">
        <f t="shared" si="394"/>
        <v>1.5707963267948966</v>
      </c>
      <c r="AW421" t="str">
        <f t="shared" si="371"/>
        <v>1+4,78261689016682i</v>
      </c>
      <c r="AX421">
        <f t="shared" si="395"/>
        <v>4.886043830964776</v>
      </c>
      <c r="AY421">
        <f t="shared" si="396"/>
        <v>1.3646753281685509</v>
      </c>
      <c r="AZ421" t="str">
        <f t="shared" si="372"/>
        <v>1+222,174293715931i</v>
      </c>
      <c r="BA421">
        <f t="shared" si="397"/>
        <v>222.1765441899139</v>
      </c>
      <c r="BB421">
        <f t="shared" si="398"/>
        <v>1.5662953864275648</v>
      </c>
      <c r="BC421" s="41" t="str">
        <f t="shared" si="399"/>
        <v>-0,147046577819836+0,719415743649275i</v>
      </c>
      <c r="BD421">
        <f t="shared" si="400"/>
        <v>-2.6826484966439978</v>
      </c>
      <c r="BE421" s="43">
        <f t="shared" si="401"/>
        <v>101.55197840342328</v>
      </c>
      <c r="BF421" s="41" t="str">
        <f t="shared" si="402"/>
        <v>0,380147327215384+0,0354800486975692i</v>
      </c>
      <c r="BG421" s="20">
        <f t="shared" si="403"/>
        <v>-8.3632939054152882</v>
      </c>
      <c r="BH421" s="43">
        <f t="shared" si="404"/>
        <v>5.3321038196243205</v>
      </c>
      <c r="BI421" s="41" t="str">
        <f t="shared" si="357"/>
        <v>0,318928637844486+0,467801542791922i</v>
      </c>
      <c r="BJ421" s="20">
        <f t="shared" si="405"/>
        <v>-4.9409912531577094</v>
      </c>
      <c r="BK421" s="43">
        <f t="shared" si="358"/>
        <v>55.715377177977331</v>
      </c>
      <c r="BL421">
        <f t="shared" si="406"/>
        <v>-8.3632939054152882</v>
      </c>
      <c r="BM421" s="43">
        <f t="shared" si="407"/>
        <v>5.3321038196243205</v>
      </c>
    </row>
    <row r="422" spans="14:65" x14ac:dyDescent="0.25">
      <c r="N422" s="9">
        <v>4</v>
      </c>
      <c r="O422" s="34">
        <f t="shared" si="408"/>
        <v>109647.81961431868</v>
      </c>
      <c r="P422" s="33" t="str">
        <f t="shared" si="360"/>
        <v>54,631621870174</v>
      </c>
      <c r="Q422" s="4" t="str">
        <f t="shared" si="361"/>
        <v>1+3075,3485237795i</v>
      </c>
      <c r="R422" s="4">
        <f t="shared" si="373"/>
        <v>3075.348686362694</v>
      </c>
      <c r="S422" s="4">
        <f t="shared" si="374"/>
        <v>1.5704711604090307</v>
      </c>
      <c r="T422" s="4" t="str">
        <f t="shared" si="362"/>
        <v>1+10,4167360457743i</v>
      </c>
      <c r="U422" s="4">
        <f t="shared" si="375"/>
        <v>10.464625642961796</v>
      </c>
      <c r="V422" s="4">
        <f t="shared" si="376"/>
        <v>1.4750902522628881</v>
      </c>
      <c r="W422" t="str">
        <f t="shared" si="363"/>
        <v>1-2,74151602936306i</v>
      </c>
      <c r="X422" s="4">
        <f t="shared" si="377"/>
        <v>2.918203238168068</v>
      </c>
      <c r="Y422" s="4">
        <f t="shared" si="378"/>
        <v>-1.2210317876848549</v>
      </c>
      <c r="Z422" t="str">
        <f t="shared" si="364"/>
        <v>0,951909422615303+0,376662128935985i</v>
      </c>
      <c r="AA422" s="4">
        <f t="shared" si="379"/>
        <v>1.0237215970362197</v>
      </c>
      <c r="AB422" s="4">
        <f t="shared" si="380"/>
        <v>0.37678633639885062</v>
      </c>
      <c r="AC422" s="47" t="str">
        <f t="shared" si="381"/>
        <v>-0,0647013149824981-0,525951318387386i</v>
      </c>
      <c r="AD422" s="20">
        <f t="shared" si="382"/>
        <v>-5.5158580740003993</v>
      </c>
      <c r="AE422" s="43">
        <f t="shared" si="383"/>
        <v>-97.013158422405709</v>
      </c>
      <c r="AF422" t="str">
        <f t="shared" si="365"/>
        <v>171,265703090588</v>
      </c>
      <c r="AG422" t="str">
        <f t="shared" si="366"/>
        <v>1+3045,91738478385i</v>
      </c>
      <c r="AH422">
        <f t="shared" si="384"/>
        <v>3045.9175489380023</v>
      </c>
      <c r="AI422">
        <f t="shared" si="385"/>
        <v>1.5704680184930804</v>
      </c>
      <c r="AJ422" t="str">
        <f t="shared" si="367"/>
        <v>1+10,4167360457743i</v>
      </c>
      <c r="AK422">
        <f t="shared" si="386"/>
        <v>10.464625642961796</v>
      </c>
      <c r="AL422">
        <f t="shared" si="387"/>
        <v>1.4750902522628881</v>
      </c>
      <c r="AM422" t="str">
        <f t="shared" si="368"/>
        <v>1-0,866139620074867i</v>
      </c>
      <c r="AN422">
        <f t="shared" si="388"/>
        <v>1.3229504304634527</v>
      </c>
      <c r="AO422">
        <f t="shared" si="389"/>
        <v>-0.713789641707538</v>
      </c>
      <c r="AP422" s="41" t="str">
        <f t="shared" si="390"/>
        <v>0,537195453725348-0,563359747015287i</v>
      </c>
      <c r="AQ422">
        <f t="shared" si="391"/>
        <v>-2.1756094532801482</v>
      </c>
      <c r="AR422" s="43">
        <f t="shared" si="392"/>
        <v>-46.361877394372513</v>
      </c>
      <c r="AS422" t="str">
        <f t="shared" si="369"/>
        <v>-0,0000166666666666667</v>
      </c>
      <c r="AT422" t="str">
        <f t="shared" si="370"/>
        <v>0,00105614129352989i</v>
      </c>
      <c r="AU422">
        <f t="shared" si="393"/>
        <v>1.0561412935298901E-3</v>
      </c>
      <c r="AV422">
        <f t="shared" si="394"/>
        <v>1.5707963267948966</v>
      </c>
      <c r="AW422" t="str">
        <f t="shared" si="371"/>
        <v>1+4,89401834847128i</v>
      </c>
      <c r="AX422">
        <f t="shared" si="395"/>
        <v>4.9951391967765586</v>
      </c>
      <c r="AY422">
        <f t="shared" si="396"/>
        <v>1.3692397674108345</v>
      </c>
      <c r="AZ422" t="str">
        <f t="shared" si="372"/>
        <v>1+227,349397824438i</v>
      </c>
      <c r="BA422">
        <f t="shared" si="397"/>
        <v>227.35159707188024</v>
      </c>
      <c r="BB422">
        <f t="shared" si="398"/>
        <v>1.5663978390018232</v>
      </c>
      <c r="BC422" s="41" t="str">
        <f t="shared" si="399"/>
        <v>-0,140693634532617+0,704337945727752i</v>
      </c>
      <c r="BD422">
        <f t="shared" si="400"/>
        <v>-2.874457184790324</v>
      </c>
      <c r="BE422" s="43">
        <f t="shared" si="401"/>
        <v>101.29632539910179</v>
      </c>
      <c r="BF422" s="41" t="str">
        <f t="shared" si="402"/>
        <v>0,379550534309702+0,028426411290486i</v>
      </c>
      <c r="BG422" s="20">
        <f t="shared" si="403"/>
        <v>-8.3903152587907144</v>
      </c>
      <c r="BH422" s="43">
        <f t="shared" si="404"/>
        <v>4.2831669766960649</v>
      </c>
      <c r="BI422" s="41" t="str">
        <f t="shared" si="357"/>
        <v>0,321215666079436+0,457628272688156i</v>
      </c>
      <c r="BJ422" s="20">
        <f t="shared" si="405"/>
        <v>-5.050066638070466</v>
      </c>
      <c r="BK422" s="43">
        <f t="shared" si="358"/>
        <v>54.934448004729283</v>
      </c>
      <c r="BL422">
        <f t="shared" si="406"/>
        <v>-8.3903152587907144</v>
      </c>
      <c r="BM422" s="43">
        <f t="shared" si="407"/>
        <v>4.2831669766960649</v>
      </c>
    </row>
    <row r="423" spans="14:65" x14ac:dyDescent="0.25">
      <c r="N423" s="9">
        <v>5</v>
      </c>
      <c r="O423" s="34">
        <f t="shared" si="408"/>
        <v>112201.84543019651</v>
      </c>
      <c r="P423" s="33" t="str">
        <f t="shared" si="360"/>
        <v>54,631621870174</v>
      </c>
      <c r="Q423" s="4" t="str">
        <f t="shared" si="361"/>
        <v>1+3146,98259320453i</v>
      </c>
      <c r="R423" s="4">
        <f t="shared" si="373"/>
        <v>3146.9827520868794</v>
      </c>
      <c r="S423" s="4">
        <f t="shared" si="374"/>
        <v>1.5704785620991206</v>
      </c>
      <c r="T423" s="4" t="str">
        <f t="shared" si="362"/>
        <v>1+10,6593729980791i</v>
      </c>
      <c r="U423" s="4">
        <f t="shared" si="375"/>
        <v>10.706177315558426</v>
      </c>
      <c r="V423" s="4">
        <f t="shared" si="376"/>
        <v>1.4772559565348633</v>
      </c>
      <c r="W423" t="str">
        <f t="shared" si="363"/>
        <v>1-2,80537414107258i</v>
      </c>
      <c r="X423" s="4">
        <f t="shared" si="377"/>
        <v>2.9782753518435321</v>
      </c>
      <c r="Y423" s="4">
        <f t="shared" si="378"/>
        <v>-1.2283792877324418</v>
      </c>
      <c r="Z423" t="str">
        <f t="shared" si="364"/>
        <v>0,949642983528233+0,385435716997744i</v>
      </c>
      <c r="AA423" s="4">
        <f t="shared" si="379"/>
        <v>1.0248816946857666</v>
      </c>
      <c r="AB423" s="4">
        <f t="shared" si="380"/>
        <v>0.38556018107318463</v>
      </c>
      <c r="AC423" s="47" t="str">
        <f t="shared" si="381"/>
        <v>-0,0734232730884478-0,535087381900113i</v>
      </c>
      <c r="AD423" s="20">
        <f t="shared" si="382"/>
        <v>-5.3504945199653928</v>
      </c>
      <c r="AE423" s="43">
        <f t="shared" si="383"/>
        <v>-97.813181806193128</v>
      </c>
      <c r="AF423" t="str">
        <f t="shared" si="365"/>
        <v>171,265703090588</v>
      </c>
      <c r="AG423" t="str">
        <f t="shared" si="366"/>
        <v>1+3116,86591491544i</v>
      </c>
      <c r="AH423">
        <f t="shared" si="384"/>
        <v>3116.8660753329877</v>
      </c>
      <c r="AI423">
        <f t="shared" si="385"/>
        <v>1.5704754917018942</v>
      </c>
      <c r="AJ423" t="str">
        <f t="shared" si="367"/>
        <v>1+10,6593729980791i</v>
      </c>
      <c r="AK423">
        <f t="shared" si="386"/>
        <v>10.706177315558426</v>
      </c>
      <c r="AL423">
        <f t="shared" si="387"/>
        <v>1.4772559565348633</v>
      </c>
      <c r="AM423" t="str">
        <f t="shared" si="368"/>
        <v>1-0,886314603559326i</v>
      </c>
      <c r="AN423">
        <f t="shared" si="388"/>
        <v>1.3362460763207222</v>
      </c>
      <c r="AO423">
        <f t="shared" si="389"/>
        <v>-0.72520245206898526</v>
      </c>
      <c r="AP423" s="41" t="str">
        <f t="shared" si="390"/>
        <v>0,537194625489883-0,573900582380497i</v>
      </c>
      <c r="AQ423">
        <f t="shared" si="391"/>
        <v>-2.0905373074967502</v>
      </c>
      <c r="AR423" s="43">
        <f t="shared" si="392"/>
        <v>-46.892125729333557</v>
      </c>
      <c r="AS423" t="str">
        <f t="shared" si="369"/>
        <v>-0,0000166666666666667</v>
      </c>
      <c r="AT423" t="str">
        <f t="shared" si="370"/>
        <v>0,00108074198452747i</v>
      </c>
      <c r="AU423">
        <f t="shared" si="393"/>
        <v>1.08074198452747E-3</v>
      </c>
      <c r="AV423">
        <f t="shared" si="394"/>
        <v>1.5707963267948966</v>
      </c>
      <c r="AW423" t="str">
        <f t="shared" si="371"/>
        <v>1+5,00801468008409i</v>
      </c>
      <c r="AX423">
        <f t="shared" si="395"/>
        <v>5.1068787958926283</v>
      </c>
      <c r="AY423">
        <f t="shared" si="396"/>
        <v>1.3737085494811005</v>
      </c>
      <c r="AZ423" t="str">
        <f t="shared" si="372"/>
        <v>1+232,645045592997i</v>
      </c>
      <c r="BA423">
        <f t="shared" si="397"/>
        <v>232.64719477992347</v>
      </c>
      <c r="BB423">
        <f t="shared" si="398"/>
        <v>1.5664979595599964</v>
      </c>
      <c r="BC423" s="41" t="str">
        <f t="shared" si="399"/>
        <v>-0,134604177166412+0,689521199092093i</v>
      </c>
      <c r="BD423">
        <f t="shared" si="400"/>
        <v>-3.0666200798731529</v>
      </c>
      <c r="BE423" s="43">
        <f t="shared" si="401"/>
        <v>101.0460195323376</v>
      </c>
      <c r="BF423" s="41" t="str">
        <f t="shared" si="402"/>
        <v>0,37883717244575+0,0213980934515816i</v>
      </c>
      <c r="BG423" s="20">
        <f t="shared" si="403"/>
        <v>-8.4171145998385413</v>
      </c>
      <c r="BH423" s="43">
        <f t="shared" si="404"/>
        <v>3.2328377261444712</v>
      </c>
      <c r="BI423" s="41" t="str">
        <f t="shared" si="357"/>
        <v>0,323407977180366+0,447656497980263i</v>
      </c>
      <c r="BJ423" s="20">
        <f t="shared" si="405"/>
        <v>-5.1571573873699093</v>
      </c>
      <c r="BK423" s="43">
        <f t="shared" si="358"/>
        <v>54.153893803004067</v>
      </c>
      <c r="BL423">
        <f t="shared" si="406"/>
        <v>-8.4171145998385413</v>
      </c>
      <c r="BM423" s="43">
        <f t="shared" si="407"/>
        <v>3.2328377261444712</v>
      </c>
    </row>
    <row r="424" spans="14:65" x14ac:dyDescent="0.25">
      <c r="N424" s="9">
        <v>6</v>
      </c>
      <c r="O424" s="34">
        <f t="shared" si="408"/>
        <v>114815.36214968823</v>
      </c>
      <c r="P424" s="33" t="str">
        <f t="shared" si="360"/>
        <v>54,631621870174</v>
      </c>
      <c r="Q424" s="4" t="str">
        <f t="shared" si="361"/>
        <v>1+3220,2852344557i</v>
      </c>
      <c r="R424" s="4">
        <f t="shared" si="373"/>
        <v>3220.2853897214459</v>
      </c>
      <c r="S424" s="4">
        <f t="shared" si="374"/>
        <v>1.5704857953062081</v>
      </c>
      <c r="T424" s="4" t="str">
        <f t="shared" si="362"/>
        <v>1+10,9076616910411i</v>
      </c>
      <c r="U424" s="4">
        <f t="shared" si="375"/>
        <v>10.953405112849868</v>
      </c>
      <c r="V424" s="4">
        <f t="shared" si="376"/>
        <v>1.4793732140569422</v>
      </c>
      <c r="W424" t="str">
        <f t="shared" si="363"/>
        <v>1-2,8707196992852i</v>
      </c>
      <c r="X424" s="4">
        <f t="shared" si="377"/>
        <v>3.0399065103822043</v>
      </c>
      <c r="Y424" s="4">
        <f t="shared" si="378"/>
        <v>-1.2355969202802772</v>
      </c>
      <c r="Z424" t="str">
        <f t="shared" si="364"/>
        <v>0,947269730457744+0,394413668178498i</v>
      </c>
      <c r="AA424" s="4">
        <f t="shared" si="379"/>
        <v>1.0261004258295117</v>
      </c>
      <c r="AB424" s="4">
        <f t="shared" si="380"/>
        <v>0.39453738578730396</v>
      </c>
      <c r="AC424" s="47" t="str">
        <f t="shared" si="381"/>
        <v>-0,0825131964574694-0,544296295013391i</v>
      </c>
      <c r="AD424" s="20">
        <f t="shared" si="382"/>
        <v>-5.1846151571959185</v>
      </c>
      <c r="AE424" s="43">
        <f t="shared" si="383"/>
        <v>-98.62018214328539</v>
      </c>
      <c r="AF424" t="str">
        <f t="shared" si="365"/>
        <v>171,265703090588</v>
      </c>
      <c r="AG424" t="str">
        <f t="shared" si="366"/>
        <v>1+3189,4670486117i</v>
      </c>
      <c r="AH424">
        <f t="shared" si="384"/>
        <v>3189.467205377699</v>
      </c>
      <c r="AI424">
        <f t="shared" si="385"/>
        <v>1.5704827947997415</v>
      </c>
      <c r="AJ424" t="str">
        <f t="shared" si="367"/>
        <v>1+10,9076616910411i</v>
      </c>
      <c r="AK424">
        <f t="shared" si="386"/>
        <v>10.953405112849868</v>
      </c>
      <c r="AL424">
        <f t="shared" si="387"/>
        <v>1.4793732140569422</v>
      </c>
      <c r="AM424" t="str">
        <f t="shared" si="368"/>
        <v>1-0,90695952277835i</v>
      </c>
      <c r="AN424">
        <f t="shared" si="388"/>
        <v>1.3500279908054991</v>
      </c>
      <c r="AO424">
        <f t="shared" si="389"/>
        <v>-0.7366468632282539</v>
      </c>
      <c r="AP424" s="41" t="str">
        <f t="shared" si="390"/>
        <v>0,537193834531159-0,584745707407036i</v>
      </c>
      <c r="AQ424">
        <f t="shared" si="391"/>
        <v>-2.003116316166162</v>
      </c>
      <c r="AR424" s="43">
        <f t="shared" si="392"/>
        <v>-47.426950704298477</v>
      </c>
      <c r="AS424" t="str">
        <f t="shared" si="369"/>
        <v>-0,0000166666666666667</v>
      </c>
      <c r="AT424" t="str">
        <f t="shared" si="370"/>
        <v>0,00110591569923055i</v>
      </c>
      <c r="AU424">
        <f t="shared" si="393"/>
        <v>1.10591569923055E-3</v>
      </c>
      <c r="AV424">
        <f t="shared" si="394"/>
        <v>1.5707963267948966</v>
      </c>
      <c r="AW424" t="str">
        <f t="shared" si="371"/>
        <v>1+5,12466632736917i</v>
      </c>
      <c r="AX424">
        <f t="shared" si="395"/>
        <v>5.2213221473944147</v>
      </c>
      <c r="AY424">
        <f t="shared" si="396"/>
        <v>1.3780833295148476</v>
      </c>
      <c r="AZ424" t="str">
        <f t="shared" si="372"/>
        <v>1+238,06404484415i</v>
      </c>
      <c r="BA424">
        <f t="shared" si="397"/>
        <v>238.06614511004597</v>
      </c>
      <c r="BB424">
        <f t="shared" si="398"/>
        <v>1.5665958011792964</v>
      </c>
      <c r="BC424" s="41" t="str">
        <f t="shared" si="399"/>
        <v>-0,128768210461505+0,674964579745236i</v>
      </c>
      <c r="BD424">
        <f t="shared" si="400"/>
        <v>-3.2591224647813135</v>
      </c>
      <c r="BE424" s="43">
        <f t="shared" si="401"/>
        <v>100.80096901195245</v>
      </c>
      <c r="BF424" s="41" t="str">
        <f t="shared" si="402"/>
        <v>0,378005796667889+0,0143945748993498i</v>
      </c>
      <c r="BG424" s="20">
        <f t="shared" si="403"/>
        <v>-8.4437376219772435</v>
      </c>
      <c r="BH424" s="43">
        <f t="shared" si="404"/>
        <v>2.1807868686670444</v>
      </c>
      <c r="BI424" s="41" t="str">
        <f t="shared" si="357"/>
        <v>0,32550915191429+0,437883469083906i</v>
      </c>
      <c r="BJ424" s="20">
        <f t="shared" si="405"/>
        <v>-5.2622387809474791</v>
      </c>
      <c r="BK424" s="43">
        <f t="shared" si="358"/>
        <v>53.374018307653913</v>
      </c>
      <c r="BL424">
        <f t="shared" si="406"/>
        <v>-8.4437376219772435</v>
      </c>
      <c r="BM424" s="43">
        <f t="shared" si="407"/>
        <v>2.1807868686670444</v>
      </c>
    </row>
    <row r="425" spans="14:65" x14ac:dyDescent="0.25">
      <c r="N425" s="9">
        <v>7</v>
      </c>
      <c r="O425" s="34">
        <f t="shared" si="408"/>
        <v>117489.75549395311</v>
      </c>
      <c r="P425" s="33" t="str">
        <f t="shared" si="360"/>
        <v>54,631621870174</v>
      </c>
      <c r="Q425" s="4" t="str">
        <f t="shared" si="361"/>
        <v>1+3295,29531356371i</v>
      </c>
      <c r="R425" s="4">
        <f t="shared" si="373"/>
        <v>3295.2954652951757</v>
      </c>
      <c r="S425" s="4">
        <f t="shared" si="374"/>
        <v>1.5704928638654325</v>
      </c>
      <c r="T425" s="4" t="str">
        <f t="shared" si="362"/>
        <v>1+11,1617337706116i</v>
      </c>
      <c r="U425" s="4">
        <f t="shared" si="375"/>
        <v>11.206440146898185</v>
      </c>
      <c r="V425" s="4">
        <f t="shared" si="376"/>
        <v>1.4814430714555806</v>
      </c>
      <c r="W425" t="str">
        <f t="shared" si="363"/>
        <v>1-2,93758735108086i</v>
      </c>
      <c r="X425" s="4">
        <f t="shared" si="377"/>
        <v>3.1031305878467736</v>
      </c>
      <c r="Y425" s="4">
        <f t="shared" si="378"/>
        <v>-1.2426855032931043</v>
      </c>
      <c r="Z425" t="str">
        <f t="shared" si="364"/>
        <v>0,944784629415884+0,403600742706804i</v>
      </c>
      <c r="AA425" s="4">
        <f t="shared" si="379"/>
        <v>1.0273809203474595</v>
      </c>
      <c r="AB425" s="4">
        <f t="shared" si="380"/>
        <v>0.40372251984527968</v>
      </c>
      <c r="AC425" s="47" t="str">
        <f t="shared" si="381"/>
        <v>-0,0919842967211645-0,55356874867051i</v>
      </c>
      <c r="AD425" s="20">
        <f t="shared" si="382"/>
        <v>-5.0182806983398169</v>
      </c>
      <c r="AE425" s="43">
        <f t="shared" si="383"/>
        <v>-99.434408353907187</v>
      </c>
      <c r="AF425" t="str">
        <f t="shared" si="365"/>
        <v>171,265703090588</v>
      </c>
      <c r="AG425" t="str">
        <f t="shared" si="366"/>
        <v>1+3263,75927995474i</v>
      </c>
      <c r="AH425">
        <f t="shared" si="384"/>
        <v>3263.7594331523096</v>
      </c>
      <c r="AI425">
        <f t="shared" si="385"/>
        <v>1.5704899316588188</v>
      </c>
      <c r="AJ425" t="str">
        <f t="shared" si="367"/>
        <v>1+11,1617337706116i</v>
      </c>
      <c r="AK425">
        <f t="shared" si="386"/>
        <v>11.206440146898185</v>
      </c>
      <c r="AL425">
        <f t="shared" si="387"/>
        <v>1.4814430714555806</v>
      </c>
      <c r="AM425" t="str">
        <f t="shared" si="368"/>
        <v>1-0,928085323941385i</v>
      </c>
      <c r="AN425">
        <f t="shared" si="388"/>
        <v>1.3643102171117041</v>
      </c>
      <c r="AO425">
        <f t="shared" si="389"/>
        <v>-0.74811695271624878</v>
      </c>
      <c r="AP425" s="41" t="str">
        <f t="shared" si="390"/>
        <v>0,537193079171427-0,595900872325336i</v>
      </c>
      <c r="AQ425">
        <f t="shared" si="391"/>
        <v>-1.9133386168356519</v>
      </c>
      <c r="AR425" s="43">
        <f t="shared" si="392"/>
        <v>-47.965953241366122</v>
      </c>
      <c r="AS425" t="str">
        <f t="shared" si="369"/>
        <v>-0,0000166666666666667</v>
      </c>
      <c r="AT425" t="str">
        <f t="shared" si="370"/>
        <v>0,0011316757850759i</v>
      </c>
      <c r="AU425">
        <f t="shared" si="393"/>
        <v>1.1316757850759001E-3</v>
      </c>
      <c r="AV425">
        <f t="shared" si="394"/>
        <v>1.5707963267948966</v>
      </c>
      <c r="AW425" t="str">
        <f t="shared" si="371"/>
        <v>1+5,24403514057404i</v>
      </c>
      <c r="AX425">
        <f t="shared" si="395"/>
        <v>5.3385301868187831</v>
      </c>
      <c r="AY425">
        <f t="shared" si="396"/>
        <v>1.3823657569368626</v>
      </c>
      <c r="AZ425" t="str">
        <f t="shared" si="372"/>
        <v>1+243,60926880303i</v>
      </c>
      <c r="BA425">
        <f t="shared" si="397"/>
        <v>243.61132126144494</v>
      </c>
      <c r="BB425">
        <f t="shared" si="398"/>
        <v>1.5666914157291469</v>
      </c>
      <c r="BC425" s="41" t="str">
        <f t="shared" si="399"/>
        <v>-0,123176038711751+0,660666897315601i</v>
      </c>
      <c r="BD425">
        <f t="shared" si="400"/>
        <v>-3.4519501829511849</v>
      </c>
      <c r="BE425" s="43">
        <f t="shared" si="401"/>
        <v>100.56108230476634</v>
      </c>
      <c r="BF425" s="41" t="str">
        <f t="shared" si="402"/>
        <v>0,377054808928825+0,00741542569932494i</v>
      </c>
      <c r="BG425" s="20">
        <f t="shared" si="403"/>
        <v>-8.4702308812910019</v>
      </c>
      <c r="BH425" s="43">
        <f t="shared" si="404"/>
        <v>1.1266739508591541</v>
      </c>
      <c r="BI425" s="41" t="str">
        <f t="shared" si="357"/>
        <v>0,327522664911135+0,428306393793512i</v>
      </c>
      <c r="BJ425" s="20">
        <f t="shared" si="405"/>
        <v>-5.365288799786847</v>
      </c>
      <c r="BK425" s="43">
        <f t="shared" si="358"/>
        <v>52.595129063400229</v>
      </c>
      <c r="BL425">
        <f t="shared" si="406"/>
        <v>-8.4702308812910019</v>
      </c>
      <c r="BM425" s="43">
        <f t="shared" si="407"/>
        <v>1.1266739508591541</v>
      </c>
    </row>
    <row r="426" spans="14:65" x14ac:dyDescent="0.25">
      <c r="N426" s="9">
        <v>8</v>
      </c>
      <c r="O426" s="34">
        <f t="shared" si="408"/>
        <v>120226.44346174144</v>
      </c>
      <c r="P426" s="33" t="str">
        <f t="shared" si="360"/>
        <v>54,631621870174</v>
      </c>
      <c r="Q426" s="4" t="str">
        <f t="shared" si="361"/>
        <v>1+3372,05260186535i</v>
      </c>
      <c r="R426" s="4">
        <f t="shared" si="373"/>
        <v>3372.0527501429865</v>
      </c>
      <c r="S426" s="4">
        <f t="shared" si="374"/>
        <v>1.5704997715246343</v>
      </c>
      <c r="T426" s="4" t="str">
        <f t="shared" si="362"/>
        <v>1+11,4217239491703i</v>
      </c>
      <c r="U426" s="4">
        <f t="shared" si="375"/>
        <v>11.465416606955475</v>
      </c>
      <c r="V426" s="4">
        <f t="shared" si="376"/>
        <v>1.4834665552140536</v>
      </c>
      <c r="W426" t="str">
        <f t="shared" si="363"/>
        <v>1-3,00601255057363i</v>
      </c>
      <c r="X426" s="4">
        <f t="shared" si="377"/>
        <v>3.1679822370408233</v>
      </c>
      <c r="Y426" s="4">
        <f t="shared" si="378"/>
        <v>-1.2496459448133257</v>
      </c>
      <c r="Z426" t="str">
        <f t="shared" si="364"/>
        <v>0,942182409170163+0,413001811691181i</v>
      </c>
      <c r="AA426" s="4">
        <f t="shared" si="379"/>
        <v>1.0287264887276355</v>
      </c>
      <c r="AB426" s="4">
        <f t="shared" si="380"/>
        <v>0.41312023618381766</v>
      </c>
      <c r="AC426" s="47" t="str">
        <f t="shared" si="381"/>
        <v>-0,101850016331593-0,562894567835526i</v>
      </c>
      <c r="AD426" s="20">
        <f t="shared" si="382"/>
        <v>-4.8515522201452841</v>
      </c>
      <c r="AE426" s="43">
        <f t="shared" si="383"/>
        <v>-100.25612046026768</v>
      </c>
      <c r="AF426" t="str">
        <f t="shared" si="365"/>
        <v>171,265703090588</v>
      </c>
      <c r="AG426" t="str">
        <f t="shared" si="366"/>
        <v>1+3339,78199966896i</v>
      </c>
      <c r="AH426">
        <f t="shared" si="384"/>
        <v>3339.7821493793267</v>
      </c>
      <c r="AI426">
        <f t="shared" si="385"/>
        <v>1.5704969060631797</v>
      </c>
      <c r="AJ426" t="str">
        <f t="shared" si="367"/>
        <v>1+11,4217239491703i</v>
      </c>
      <c r="AK426">
        <f t="shared" si="386"/>
        <v>11.465416606955475</v>
      </c>
      <c r="AL426">
        <f t="shared" si="387"/>
        <v>1.4834665552140536</v>
      </c>
      <c r="AM426" t="str">
        <f t="shared" si="368"/>
        <v>1-0,949703208227832i</v>
      </c>
      <c r="AN426">
        <f t="shared" si="388"/>
        <v>1.3791070240261403</v>
      </c>
      <c r="AO426">
        <f t="shared" si="389"/>
        <v>-0.75960673082263963</v>
      </c>
      <c r="AP426" s="41" t="str">
        <f t="shared" si="390"/>
        <v>0,537192357808478-0,607371991752988i</v>
      </c>
      <c r="AQ426">
        <f t="shared" si="391"/>
        <v>-1.8211985416993202</v>
      </c>
      <c r="AR426" s="43">
        <f t="shared" si="392"/>
        <v>-48.508731559065026</v>
      </c>
      <c r="AS426" t="str">
        <f t="shared" si="369"/>
        <v>-0,0000166666666666667</v>
      </c>
      <c r="AT426" t="str">
        <f t="shared" si="370"/>
        <v>0,00115803590040198i</v>
      </c>
      <c r="AU426">
        <f t="shared" si="393"/>
        <v>1.1580359004019799E-3</v>
      </c>
      <c r="AV426">
        <f t="shared" si="394"/>
        <v>1.5707963267948966</v>
      </c>
      <c r="AW426" t="str">
        <f t="shared" si="371"/>
        <v>1+5,36618441062343i</v>
      </c>
      <c r="AX426">
        <f t="shared" si="395"/>
        <v>5.4585652994919753</v>
      </c>
      <c r="AY426">
        <f t="shared" si="396"/>
        <v>1.3865574737537365</v>
      </c>
      <c r="AZ426" t="str">
        <f t="shared" si="372"/>
        <v>1+249,283657620779i</v>
      </c>
      <c r="BA426">
        <f t="shared" si="397"/>
        <v>249.28566335991684</v>
      </c>
      <c r="BB426">
        <f t="shared" si="398"/>
        <v>1.5667848538986513</v>
      </c>
      <c r="BC426" s="41" t="str">
        <f t="shared" si="399"/>
        <v>-0,117818263855177+0,646626715571726i</v>
      </c>
      <c r="BD426">
        <f t="shared" si="400"/>
        <v>-3.6450896213668358</v>
      </c>
      <c r="BE426" s="43">
        <f t="shared" si="401"/>
        <v>100.32626823500355</v>
      </c>
      <c r="BF426" s="41" t="str">
        <f t="shared" si="402"/>
        <v>0,375982457710462+0,000460319174467191i</v>
      </c>
      <c r="BG426" s="20">
        <f t="shared" si="403"/>
        <v>-8.4966418415121208</v>
      </c>
      <c r="BH426" s="43">
        <f t="shared" si="404"/>
        <v>7.0147774735871943E-2</v>
      </c>
      <c r="BI426" s="41" t="str">
        <f t="shared" si="357"/>
        <v>0,329451885204228+0,418922443542526i</v>
      </c>
      <c r="BJ426" s="20">
        <f t="shared" si="405"/>
        <v>-5.4662881630661513</v>
      </c>
      <c r="BK426" s="43">
        <f t="shared" si="358"/>
        <v>51.817536675938584</v>
      </c>
      <c r="BL426">
        <f t="shared" si="406"/>
        <v>-8.4966418415121208</v>
      </c>
      <c r="BM426" s="43">
        <f t="shared" si="407"/>
        <v>7.0147774735871943E-2</v>
      </c>
    </row>
    <row r="427" spans="14:65" x14ac:dyDescent="0.25">
      <c r="N427" s="9">
        <v>9</v>
      </c>
      <c r="O427" s="34">
        <f t="shared" si="408"/>
        <v>123026.87708123829</v>
      </c>
      <c r="P427" s="33" t="str">
        <f t="shared" si="360"/>
        <v>54,631621870174</v>
      </c>
      <c r="Q427" s="4" t="str">
        <f t="shared" si="361"/>
        <v>1+3450,5977970909i</v>
      </c>
      <c r="R427" s="4">
        <f t="shared" si="373"/>
        <v>3450.5979419933255</v>
      </c>
      <c r="S427" s="4">
        <f t="shared" si="374"/>
        <v>1.5705065219463432</v>
      </c>
      <c r="T427" s="4" t="str">
        <f t="shared" si="362"/>
        <v>1+11,6877700769512i</v>
      </c>
      <c r="U427" s="4">
        <f t="shared" si="375"/>
        <v>11.730471830735363</v>
      </c>
      <c r="V427" s="4">
        <f t="shared" si="376"/>
        <v>1.4854446718924972</v>
      </c>
      <c r="W427" t="str">
        <f t="shared" si="363"/>
        <v>1-3,07603157770999i</v>
      </c>
      <c r="X427" s="4">
        <f t="shared" si="377"/>
        <v>3.2344969109691553</v>
      </c>
      <c r="Y427" s="4">
        <f t="shared" si="378"/>
        <v>-1.2564792367216091</v>
      </c>
      <c r="Z427" t="str">
        <f t="shared" si="364"/>
        <v>0,939457550062551+0,422621859702841i</v>
      </c>
      <c r="AA427" s="4">
        <f t="shared" si="379"/>
        <v>1.0301406334419676</v>
      </c>
      <c r="AB427" s="4">
        <f t="shared" si="380"/>
        <v>0.42273527051280196</v>
      </c>
      <c r="AC427" s="47" t="str">
        <f t="shared" si="381"/>
        <v>-0,112124003260445-0,572262656789331i</v>
      </c>
      <c r="AD427" s="20">
        <f t="shared" si="382"/>
        <v>-4.6844912317831948</v>
      </c>
      <c r="AE427" s="43">
        <f t="shared" si="383"/>
        <v>-101.08558916733196</v>
      </c>
      <c r="AF427" t="str">
        <f t="shared" si="365"/>
        <v>171,265703090588</v>
      </c>
      <c r="AG427" t="str">
        <f t="shared" si="366"/>
        <v>1+3417,57551600665i</v>
      </c>
      <c r="AH427">
        <f t="shared" si="384"/>
        <v>3417.5756623091929</v>
      </c>
      <c r="AI427">
        <f t="shared" si="385"/>
        <v>1.5705037217107436</v>
      </c>
      <c r="AJ427" t="str">
        <f t="shared" si="367"/>
        <v>1+11,6877700769512i</v>
      </c>
      <c r="AK427">
        <f t="shared" si="386"/>
        <v>11.730471830735363</v>
      </c>
      <c r="AL427">
        <f t="shared" si="387"/>
        <v>1.4854446718924972</v>
      </c>
      <c r="AM427" t="str">
        <f t="shared" si="368"/>
        <v>1-0,97182463772609i</v>
      </c>
      <c r="AN427">
        <f t="shared" si="388"/>
        <v>1.3944329049801736</v>
      </c>
      <c r="AO427">
        <f t="shared" si="389"/>
        <v>-0.77111015603507571</v>
      </c>
      <c r="AP427" s="41" t="str">
        <f t="shared" si="390"/>
        <v>0,537191668912204-0,619165147830735i</v>
      </c>
      <c r="AQ427">
        <f t="shared" si="391"/>
        <v>-1.7266926619255489</v>
      </c>
      <c r="AR427" s="43">
        <f t="shared" si="392"/>
        <v>-49.054882044462758</v>
      </c>
      <c r="AS427" t="str">
        <f t="shared" si="369"/>
        <v>-0,0000166666666666667</v>
      </c>
      <c r="AT427" t="str">
        <f t="shared" si="370"/>
        <v>0,00118501002169088i</v>
      </c>
      <c r="AU427">
        <f t="shared" si="393"/>
        <v>1.18501002169088E-3</v>
      </c>
      <c r="AV427">
        <f t="shared" si="394"/>
        <v>1.5707963267948966</v>
      </c>
      <c r="AW427" t="str">
        <f t="shared" si="371"/>
        <v>1+5,49117890267718i</v>
      </c>
      <c r="AX427">
        <f t="shared" si="395"/>
        <v>5.5814913545760287</v>
      </c>
      <c r="AY427">
        <f t="shared" si="396"/>
        <v>1.3906601129783747</v>
      </c>
      <c r="AZ427" t="str">
        <f t="shared" si="372"/>
        <v>1+255,090219933458i</v>
      </c>
      <c r="BA427">
        <f t="shared" si="397"/>
        <v>255.09218001675393</v>
      </c>
      <c r="BB427">
        <f t="shared" si="398"/>
        <v>1.5668761652234338</v>
      </c>
      <c r="BC427" s="41" t="str">
        <f t="shared" si="399"/>
        <v>-0,11268578282782+0,632842371958916i</v>
      </c>
      <c r="BD427">
        <f t="shared" si="400"/>
        <v>-3.8385276936910668</v>
      </c>
      <c r="BE427" s="43">
        <f t="shared" si="401"/>
        <v>100.0964360760987</v>
      </c>
      <c r="BF427" s="41" t="str">
        <f t="shared" si="402"/>
        <v>0,374786838187264-0,0064709547134354i</v>
      </c>
      <c r="BG427" s="20">
        <f t="shared" si="403"/>
        <v>-8.5230189254742488</v>
      </c>
      <c r="BH427" s="43">
        <f t="shared" si="404"/>
        <v>-0.98915309123325701</v>
      </c>
      <c r="BI427" s="41" t="str">
        <f t="shared" si="357"/>
        <v>0,33130007704754+0,409728759333977i</v>
      </c>
      <c r="BJ427" s="20">
        <f t="shared" si="405"/>
        <v>-5.5652203556166215</v>
      </c>
      <c r="BK427" s="43">
        <f t="shared" si="358"/>
        <v>51.041554031635961</v>
      </c>
      <c r="BL427">
        <f t="shared" si="406"/>
        <v>-8.5230189254742488</v>
      </c>
      <c r="BM427" s="43">
        <f t="shared" si="407"/>
        <v>-0.98915309123325701</v>
      </c>
    </row>
    <row r="428" spans="14:65" x14ac:dyDescent="0.25">
      <c r="N428" s="9">
        <v>10</v>
      </c>
      <c r="O428" s="34">
        <f t="shared" si="408"/>
        <v>125892.54117941685</v>
      </c>
      <c r="P428" s="33" t="str">
        <f t="shared" si="360"/>
        <v>54,631621870174</v>
      </c>
      <c r="Q428" s="4" t="str">
        <f t="shared" si="361"/>
        <v>1+3530,97254494252i</v>
      </c>
      <c r="R428" s="4">
        <f t="shared" si="373"/>
        <v>3530.9726865465632</v>
      </c>
      <c r="S428" s="4">
        <f t="shared" si="374"/>
        <v>1.5705131187097201</v>
      </c>
      <c r="T428" s="4" t="str">
        <f t="shared" si="362"/>
        <v>1+11,9600132151328i</v>
      </c>
      <c r="U428" s="4">
        <f t="shared" si="375"/>
        <v>12.001746377346556</v>
      </c>
      <c r="V428" s="4">
        <f t="shared" si="376"/>
        <v>1.4873784083580925</v>
      </c>
      <c r="W428" t="str">
        <f t="shared" si="363"/>
        <v>1-3,14768155750495i</v>
      </c>
      <c r="X428" s="4">
        <f t="shared" si="377"/>
        <v>3.3027108846305016</v>
      </c>
      <c r="Y428" s="4">
        <f t="shared" si="378"/>
        <v>-1.2631864486664559</v>
      </c>
      <c r="Z428" t="str">
        <f t="shared" si="364"/>
        <v>0,936604272301555+0,432465987418577i</v>
      </c>
      <c r="AA428" s="4">
        <f t="shared" si="379"/>
        <v>1.0316270610872176</v>
      </c>
      <c r="AB428" s="4">
        <f t="shared" si="380"/>
        <v>0.43257244011604185</v>
      </c>
      <c r="AC428" s="47" t="str">
        <f t="shared" si="381"/>
        <v>-0,122820081364543-0,581660942362925i</v>
      </c>
      <c r="AD428" s="20">
        <f t="shared" si="382"/>
        <v>-4.5171597494252387</v>
      </c>
      <c r="AE428" s="43">
        <f t="shared" si="383"/>
        <v>-101.92309543322224</v>
      </c>
      <c r="AF428" t="str">
        <f t="shared" si="365"/>
        <v>171,265703090588</v>
      </c>
      <c r="AG428" t="str">
        <f t="shared" si="366"/>
        <v>1+3497,18107611989i</v>
      </c>
      <c r="AH428">
        <f t="shared" si="384"/>
        <v>3497.181219092181</v>
      </c>
      <c r="AI428">
        <f t="shared" si="385"/>
        <v>1.570510382215254</v>
      </c>
      <c r="AJ428" t="str">
        <f t="shared" si="367"/>
        <v>1+11,9600132151328i</v>
      </c>
      <c r="AK428">
        <f t="shared" si="386"/>
        <v>12.001746377346556</v>
      </c>
      <c r="AL428">
        <f t="shared" si="387"/>
        <v>1.4873784083580925</v>
      </c>
      <c r="AM428" t="str">
        <f t="shared" si="368"/>
        <v>1-0,994461341510891i</v>
      </c>
      <c r="AN428">
        <f t="shared" si="388"/>
        <v>1.4103025773782167</v>
      </c>
      <c r="AO428">
        <f t="shared" si="389"/>
        <v>-0.78262115080956207</v>
      </c>
      <c r="AP428" s="41" t="str">
        <f t="shared" si="390"/>
        <v>0,537191011021362-0,631286593447329i</v>
      </c>
      <c r="AQ428">
        <f t="shared" si="391"/>
        <v>-1.6298198218805906</v>
      </c>
      <c r="AR428" s="43">
        <f t="shared" si="392"/>
        <v>-49.604000143666646</v>
      </c>
      <c r="AS428" t="str">
        <f t="shared" si="369"/>
        <v>-0,0000166666666666667</v>
      </c>
      <c r="AT428" t="str">
        <f t="shared" si="370"/>
        <v>0,00121261245097875i</v>
      </c>
      <c r="AU428">
        <f t="shared" si="393"/>
        <v>1.2126124509787501E-3</v>
      </c>
      <c r="AV428">
        <f t="shared" si="394"/>
        <v>1.5707963267948966</v>
      </c>
      <c r="AW428" t="str">
        <f t="shared" si="371"/>
        <v>1+5,61908489046948i</v>
      </c>
      <c r="AX428">
        <f t="shared" si="395"/>
        <v>5.7073737398476379</v>
      </c>
      <c r="AY428">
        <f t="shared" si="396"/>
        <v>1.3946752971801013</v>
      </c>
      <c r="AZ428" t="str">
        <f t="shared" si="372"/>
        <v>1+261,032034457264i</v>
      </c>
      <c r="BA428">
        <f t="shared" si="397"/>
        <v>261.03394992394811</v>
      </c>
      <c r="BB428">
        <f t="shared" si="398"/>
        <v>1.566965398111873</v>
      </c>
      <c r="BC428" s="41" t="str">
        <f t="shared" si="399"/>
        <v>-0,107769784263964+0,619311996173466i</v>
      </c>
      <c r="BD428">
        <f t="shared" si="400"/>
        <v>-4.0322518235641747</v>
      </c>
      <c r="BE428" s="43">
        <f t="shared" si="401"/>
        <v>99.871495635273476</v>
      </c>
      <c r="BF428" s="41" t="str">
        <f t="shared" si="402"/>
        <v>0,373465892982862-0,0133784754868362i</v>
      </c>
      <c r="BG428" s="20">
        <f t="shared" si="403"/>
        <v>-8.5494115729894062</v>
      </c>
      <c r="BH428" s="43">
        <f t="shared" si="404"/>
        <v>-2.051599797948759</v>
      </c>
      <c r="BI428" s="41" t="str">
        <f t="shared" si="357"/>
        <v>0,3330704009791+0,400722457346633i</v>
      </c>
      <c r="BJ428" s="20">
        <f t="shared" si="405"/>
        <v>-5.6620716454447688</v>
      </c>
      <c r="BK428" s="43">
        <f t="shared" si="358"/>
        <v>50.267495491606773</v>
      </c>
      <c r="BL428">
        <f t="shared" si="406"/>
        <v>-8.5494115729894062</v>
      </c>
      <c r="BM428" s="43">
        <f t="shared" si="407"/>
        <v>-2.051599797948759</v>
      </c>
    </row>
    <row r="429" spans="14:65" x14ac:dyDescent="0.25">
      <c r="N429" s="9">
        <v>11</v>
      </c>
      <c r="O429" s="34">
        <f t="shared" si="408"/>
        <v>128824.95516931375</v>
      </c>
      <c r="P429" s="33" t="str">
        <f t="shared" si="360"/>
        <v>54,631621870174</v>
      </c>
      <c r="Q429" s="4" t="str">
        <f t="shared" si="361"/>
        <v>1+3613,21946117543i</v>
      </c>
      <c r="R429" s="4">
        <f t="shared" si="373"/>
        <v>3613.2195995561724</v>
      </c>
      <c r="S429" s="4">
        <f t="shared" si="374"/>
        <v>1.5705195653124533</v>
      </c>
      <c r="T429" s="4" t="str">
        <f t="shared" si="362"/>
        <v>1+12,2385977106307i</v>
      </c>
      <c r="U429" s="4">
        <f t="shared" si="375"/>
        <v>12.279384101926896</v>
      </c>
      <c r="V429" s="4">
        <f t="shared" si="376"/>
        <v>1.4892687320242259</v>
      </c>
      <c r="W429" t="str">
        <f t="shared" si="363"/>
        <v>1-3,22100047972619i</v>
      </c>
      <c r="X429" s="4">
        <f t="shared" si="377"/>
        <v>3.3726612771513746</v>
      </c>
      <c r="Y429" s="4">
        <f t="shared" si="378"/>
        <v>-1.2697687221747453</v>
      </c>
      <c r="Z429" t="str">
        <f t="shared" si="364"/>
        <v>0,933616523702497+0,442539414325207i</v>
      </c>
      <c r="AA429" s="4">
        <f t="shared" si="379"/>
        <v>1.0331896953423569</v>
      </c>
      <c r="AB429" s="4">
        <f t="shared" si="380"/>
        <v>0.44263664227112365</v>
      </c>
      <c r="AC429" s="47" t="str">
        <f t="shared" si="381"/>
        <v>-0,133952215980891-0,59107631521265i</v>
      </c>
      <c r="AD429" s="20">
        <f t="shared" si="382"/>
        <v>-4.3496203769927488</v>
      </c>
      <c r="AE429" s="43">
        <f t="shared" si="383"/>
        <v>-102.76893002764632</v>
      </c>
      <c r="AF429" t="str">
        <f t="shared" si="365"/>
        <v>171,265703090588</v>
      </c>
      <c r="AG429" t="str">
        <f t="shared" si="366"/>
        <v>1+3578,64088793036i</v>
      </c>
      <c r="AH429">
        <f t="shared" si="384"/>
        <v>3578.6410276482043</v>
      </c>
      <c r="AI429">
        <f t="shared" si="385"/>
        <v>1.5705168911081966</v>
      </c>
      <c r="AJ429" t="str">
        <f t="shared" si="367"/>
        <v>1+12,2385977106307i</v>
      </c>
      <c r="AK429">
        <f t="shared" si="386"/>
        <v>12.279384101926896</v>
      </c>
      <c r="AL429">
        <f t="shared" si="387"/>
        <v>1.4892687320242259</v>
      </c>
      <c r="AM429" t="str">
        <f t="shared" si="368"/>
        <v>1-1,01762532186221i</v>
      </c>
      <c r="AN429">
        <f t="shared" si="388"/>
        <v>1.426730982244083</v>
      </c>
      <c r="AO429">
        <f t="shared" si="389"/>
        <v>-0.79413361757237766</v>
      </c>
      <c r="AP429" s="41" t="str">
        <f t="shared" si="390"/>
        <v>0,537190382740487-0,643742755554901i</v>
      </c>
      <c r="AQ429">
        <f t="shared" si="391"/>
        <v>-1.5305811630074064</v>
      </c>
      <c r="AR429" s="43">
        <f t="shared" si="392"/>
        <v>-50.155681265072332</v>
      </c>
      <c r="AS429" t="str">
        <f t="shared" si="369"/>
        <v>-0,0000166666666666667</v>
      </c>
      <c r="AT429" t="str">
        <f t="shared" si="370"/>
        <v>0,00124085782343894i</v>
      </c>
      <c r="AU429">
        <f t="shared" si="393"/>
        <v>1.24085782343894E-3</v>
      </c>
      <c r="AV429">
        <f t="shared" si="394"/>
        <v>1.5707963267948966</v>
      </c>
      <c r="AW429" t="str">
        <f t="shared" si="371"/>
        <v>1+5,7499701914481i</v>
      </c>
      <c r="AX429">
        <f t="shared" si="395"/>
        <v>5.8362793972308848</v>
      </c>
      <c r="AY429">
        <f t="shared" si="396"/>
        <v>1.3986046371541039</v>
      </c>
      <c r="AZ429" t="str">
        <f t="shared" si="372"/>
        <v>1+267,112251620907i</v>
      </c>
      <c r="BA429">
        <f t="shared" si="397"/>
        <v>267.11412348655529</v>
      </c>
      <c r="BB429">
        <f t="shared" si="398"/>
        <v>1.5670525998707403</v>
      </c>
      <c r="BC429" s="41" t="str">
        <f t="shared" si="399"/>
        <v>-0,103061744620122+0,60603352779314i</v>
      </c>
      <c r="BD429">
        <f t="shared" si="400"/>
        <v>-4.2262499281072987</v>
      </c>
      <c r="BE429" s="43">
        <f t="shared" si="401"/>
        <v>99.65135733124032</v>
      </c>
      <c r="BF429" s="41" t="str">
        <f t="shared" si="402"/>
        <v>0,372017413578014-0,0202621777571591i</v>
      </c>
      <c r="BG429" s="20">
        <f t="shared" si="403"/>
        <v>-8.5758703051000555</v>
      </c>
      <c r="BH429" s="43">
        <f t="shared" si="404"/>
        <v>-3.1175726964059995</v>
      </c>
      <c r="BI429" s="41" t="str">
        <f t="shared" si="357"/>
        <v>0,334765915101828+0,391900634222817i</v>
      </c>
      <c r="BJ429" s="20">
        <f t="shared" si="405"/>
        <v>-5.7568310911147087</v>
      </c>
      <c r="BK429" s="43">
        <f t="shared" si="358"/>
        <v>49.495676066167974</v>
      </c>
      <c r="BL429">
        <f t="shared" si="406"/>
        <v>-8.5758703051000555</v>
      </c>
      <c r="BM429" s="43">
        <f t="shared" si="407"/>
        <v>-3.1175726964059995</v>
      </c>
    </row>
    <row r="430" spans="14:65" x14ac:dyDescent="0.25">
      <c r="N430" s="9">
        <v>12</v>
      </c>
      <c r="O430" s="34">
        <f t="shared" si="408"/>
        <v>131825.67385564081</v>
      </c>
      <c r="P430" s="33" t="str">
        <f t="shared" si="360"/>
        <v>54,631621870174</v>
      </c>
      <c r="Q430" s="4" t="str">
        <f t="shared" si="361"/>
        <v>1+3697,38215419325i</v>
      </c>
      <c r="R430" s="4">
        <f t="shared" si="373"/>
        <v>3697.3822894240616</v>
      </c>
      <c r="S430" s="4">
        <f t="shared" si="374"/>
        <v>1.5705258651726153</v>
      </c>
      <c r="T430" s="4" t="str">
        <f t="shared" si="362"/>
        <v>1+12,5236712726316i</v>
      </c>
      <c r="U430" s="4">
        <f t="shared" si="375"/>
        <v>12.563532232017318</v>
      </c>
      <c r="V430" s="4">
        <f t="shared" si="376"/>
        <v>1.491116591097541</v>
      </c>
      <c r="W430" t="str">
        <f t="shared" si="363"/>
        <v>1-3,29602721903675i</v>
      </c>
      <c r="X430" s="4">
        <f t="shared" si="377"/>
        <v>3.4443860742708758</v>
      </c>
      <c r="Y430" s="4">
        <f t="shared" si="378"/>
        <v>-1.2762272649531383</v>
      </c>
      <c r="Z430" t="str">
        <f t="shared" si="364"/>
        <v>0,930487966850025+0,452847481487013i</v>
      </c>
      <c r="AA430" s="4">
        <f t="shared" si="379"/>
        <v>1.0348326907968377</v>
      </c>
      <c r="AB430" s="4">
        <f t="shared" si="380"/>
        <v>0.45293285224335084</v>
      </c>
      <c r="AC430" s="47" t="str">
        <f t="shared" si="381"/>
        <v>-0,145534474284955-0,600494569280616i</v>
      </c>
      <c r="AD430" s="20">
        <f t="shared" si="382"/>
        <v>-4.1819363929782245</v>
      </c>
      <c r="AE430" s="43">
        <f t="shared" si="383"/>
        <v>-103.62339307640501</v>
      </c>
      <c r="AF430" t="str">
        <f t="shared" si="365"/>
        <v>171,265703090588</v>
      </c>
      <c r="AG430" t="str">
        <f t="shared" si="366"/>
        <v>1+3661,9981425085i</v>
      </c>
      <c r="AH430">
        <f t="shared" si="384"/>
        <v>3661.9982790459781</v>
      </c>
      <c r="AI430">
        <f t="shared" si="385"/>
        <v>1.57052325184067</v>
      </c>
      <c r="AJ430" t="str">
        <f t="shared" si="367"/>
        <v>1+12,5236712726316i</v>
      </c>
      <c r="AK430">
        <f t="shared" si="386"/>
        <v>12.563532232017318</v>
      </c>
      <c r="AL430">
        <f t="shared" si="387"/>
        <v>1.491116591097541</v>
      </c>
      <c r="AM430" t="str">
        <f t="shared" si="368"/>
        <v>1-1,04132886062905i</v>
      </c>
      <c r="AN430">
        <f t="shared" si="388"/>
        <v>1.4437332842249622</v>
      </c>
      <c r="AO430">
        <f t="shared" si="389"/>
        <v>-0.80564145485112804</v>
      </c>
      <c r="AP430" s="41" t="str">
        <f t="shared" si="390"/>
        <v>0,537189782736901-0,656540238576604i</v>
      </c>
      <c r="AQ430">
        <f t="shared" si="391"/>
        <v>-1.4289801372074973</v>
      </c>
      <c r="AR430" s="43">
        <f t="shared" si="392"/>
        <v>-50.709521689557441</v>
      </c>
      <c r="AS430" t="str">
        <f t="shared" si="369"/>
        <v>-0,0000166666666666667</v>
      </c>
      <c r="AT430" t="str">
        <f t="shared" si="370"/>
        <v>0,00126976111514182i</v>
      </c>
      <c r="AU430">
        <f t="shared" si="393"/>
        <v>1.26976111514182E-3</v>
      </c>
      <c r="AV430">
        <f t="shared" si="394"/>
        <v>1.5707963267948966</v>
      </c>
      <c r="AW430" t="str">
        <f t="shared" si="371"/>
        <v>1+5,88390420273205i</v>
      </c>
      <c r="AX430">
        <f t="shared" si="395"/>
        <v>5.9682768591049697</v>
      </c>
      <c r="AY430">
        <f t="shared" si="396"/>
        <v>1.4024497307040751</v>
      </c>
      <c r="AZ430" t="str">
        <f t="shared" si="372"/>
        <v>1+273,334095236007i</v>
      </c>
      <c r="BA430">
        <f t="shared" si="397"/>
        <v>273.33592449307969</v>
      </c>
      <c r="BB430">
        <f t="shared" si="398"/>
        <v>1.5671378167302548</v>
      </c>
      <c r="BC430" s="41" t="str">
        <f t="shared" si="399"/>
        <v>-0,0985534237947147+0,593004732985616i</v>
      </c>
      <c r="BD430">
        <f t="shared" si="400"/>
        <v>-4.4205104016613586</v>
      </c>
      <c r="BE430" s="43">
        <f t="shared" si="401"/>
        <v>99.435932265387535</v>
      </c>
      <c r="BF430" s="41" t="str">
        <f t="shared" si="402"/>
        <v>0,37043904243651-0,0271218362908145i</v>
      </c>
      <c r="BG430" s="20">
        <f t="shared" si="403"/>
        <v>-8.6024467946395884</v>
      </c>
      <c r="BH430" s="43">
        <f t="shared" si="404"/>
        <v>-4.1874608110174796</v>
      </c>
      <c r="BI430" s="41" t="str">
        <f t="shared" si="357"/>
        <v>0,336389576555171+0,38326037204522i</v>
      </c>
      <c r="BJ430" s="20">
        <f t="shared" si="405"/>
        <v>-5.8494905388688601</v>
      </c>
      <c r="BK430" s="43">
        <f t="shared" si="358"/>
        <v>48.726410575830108</v>
      </c>
      <c r="BL430">
        <f t="shared" si="406"/>
        <v>-8.6024467946395884</v>
      </c>
      <c r="BM430" s="43">
        <f t="shared" si="407"/>
        <v>-4.1874608110174796</v>
      </c>
    </row>
    <row r="431" spans="14:65" x14ac:dyDescent="0.25">
      <c r="N431" s="9">
        <v>13</v>
      </c>
      <c r="O431" s="34">
        <f t="shared" si="408"/>
        <v>134896.28825916545</v>
      </c>
      <c r="P431" s="33" t="str">
        <f t="shared" si="360"/>
        <v>54,631621870174</v>
      </c>
      <c r="Q431" s="4" t="str">
        <f t="shared" si="361"/>
        <v>1+3783,50524816987i</v>
      </c>
      <c r="R431" s="4">
        <f t="shared" si="373"/>
        <v>3783.5053803224523</v>
      </c>
      <c r="S431" s="4">
        <f t="shared" si="374"/>
        <v>1.5705320216304732</v>
      </c>
      <c r="T431" s="4" t="str">
        <f t="shared" si="362"/>
        <v>1+12,8153850509117i</v>
      </c>
      <c r="U431" s="4">
        <f t="shared" si="375"/>
        <v>12.854341445719072</v>
      </c>
      <c r="V431" s="4">
        <f t="shared" si="376"/>
        <v>1.492922914831895</v>
      </c>
      <c r="W431" t="str">
        <f t="shared" si="363"/>
        <v>1-3,37280155560692i</v>
      </c>
      <c r="X431" s="4">
        <f t="shared" si="377"/>
        <v>3.5179241511869548</v>
      </c>
      <c r="Y431" s="4">
        <f t="shared" si="378"/>
        <v>-1.2825633453882159</v>
      </c>
      <c r="Z431" t="str">
        <f t="shared" si="364"/>
        <v>0,9272119656556+0,463395654377649i</v>
      </c>
      <c r="AA431" s="4">
        <f t="shared" si="379"/>
        <v>1.036560447707229</v>
      </c>
      <c r="AB431" s="4">
        <f t="shared" si="380"/>
        <v>0.46346612080462346</v>
      </c>
      <c r="AC431" s="47" t="str">
        <f t="shared" si="381"/>
        <v>-0,157580979916249-0,609900339627581i</v>
      </c>
      <c r="AD431" s="20">
        <f t="shared" si="382"/>
        <v>-4.0141718432329476</v>
      </c>
      <c r="AE431" s="43">
        <f t="shared" si="383"/>
        <v>-104.48679358966839</v>
      </c>
      <c r="AF431" t="str">
        <f t="shared" si="365"/>
        <v>171,265703090588</v>
      </c>
      <c r="AG431" t="str">
        <f t="shared" si="366"/>
        <v>1+3747,29703697409i</v>
      </c>
      <c r="AH431">
        <f t="shared" si="384"/>
        <v>3747.2971704035958</v>
      </c>
      <c r="AI431">
        <f t="shared" si="385"/>
        <v>1.5705294677852171</v>
      </c>
      <c r="AJ431" t="str">
        <f t="shared" si="367"/>
        <v>1+12,8153850509117i</v>
      </c>
      <c r="AK431">
        <f t="shared" si="386"/>
        <v>12.854341445719072</v>
      </c>
      <c r="AL431">
        <f t="shared" si="387"/>
        <v>1.492922914831895</v>
      </c>
      <c r="AM431" t="str">
        <f t="shared" si="368"/>
        <v>1-1,06558452574141i</v>
      </c>
      <c r="AN431">
        <f t="shared" si="388"/>
        <v>1.4613248719910112</v>
      </c>
      <c r="AO431">
        <f t="shared" si="389"/>
        <v>-0.8171385734309411</v>
      </c>
      <c r="AP431" s="41" t="str">
        <f t="shared" si="390"/>
        <v>0,537189209737919-0,669685827908385i</v>
      </c>
      <c r="AQ431">
        <f t="shared" si="391"/>
        <v>-1.3250225096637238</v>
      </c>
      <c r="AR431" s="43">
        <f t="shared" si="392"/>
        <v>-51.265119481717747</v>
      </c>
      <c r="AS431" t="str">
        <f t="shared" si="369"/>
        <v>-0,0000166666666666667</v>
      </c>
      <c r="AT431" t="str">
        <f t="shared" si="370"/>
        <v>0,00129933765099522i</v>
      </c>
      <c r="AU431">
        <f t="shared" si="393"/>
        <v>1.29933765099522E-3</v>
      </c>
      <c r="AV431">
        <f t="shared" si="394"/>
        <v>1.5707963267948966</v>
      </c>
      <c r="AW431" t="str">
        <f t="shared" si="371"/>
        <v>1+6,02095793790699i</v>
      </c>
      <c r="AX431">
        <f t="shared" si="395"/>
        <v>6.1034362854088346</v>
      </c>
      <c r="AY431">
        <f t="shared" si="396"/>
        <v>1.4062121615320802</v>
      </c>
      <c r="AZ431" t="str">
        <f t="shared" si="372"/>
        <v>1+279,700864206407i</v>
      </c>
      <c r="BA431">
        <f t="shared" si="397"/>
        <v>279.70265182477431</v>
      </c>
      <c r="BB431">
        <f t="shared" si="398"/>
        <v>1.5672210938685696</v>
      </c>
      <c r="BC431" s="41" t="str">
        <f t="shared" si="399"/>
        <v>-0,0942368603100839+0,580223220319178i</v>
      </c>
      <c r="BD431">
        <f t="shared" si="400"/>
        <v>-4.6150220997861791</v>
      </c>
      <c r="BE431" s="43">
        <f t="shared" si="401"/>
        <v>99.225132286788281</v>
      </c>
      <c r="BF431" s="41" t="str">
        <f t="shared" si="402"/>
        <v>0,368728275924369-0,0339570505195006i</v>
      </c>
      <c r="BG431" s="20">
        <f t="shared" si="403"/>
        <v>-8.6291939430191285</v>
      </c>
      <c r="BH431" s="43">
        <f t="shared" si="404"/>
        <v>-5.2616613028800998</v>
      </c>
      <c r="BI431" s="41" t="str">
        <f t="shared" si="357"/>
        <v>0,337944243152961+0,374798743011095i</v>
      </c>
      <c r="BJ431" s="20">
        <f t="shared" si="405"/>
        <v>-5.9400446094499095</v>
      </c>
      <c r="BK431" s="43">
        <f t="shared" si="358"/>
        <v>47.960012805070576</v>
      </c>
      <c r="BL431">
        <f t="shared" si="406"/>
        <v>-8.6291939430191285</v>
      </c>
      <c r="BM431" s="43">
        <f t="shared" si="407"/>
        <v>-5.2616613028800998</v>
      </c>
    </row>
    <row r="432" spans="14:65" x14ac:dyDescent="0.25">
      <c r="N432" s="9">
        <v>14</v>
      </c>
      <c r="O432" s="34">
        <f t="shared" si="408"/>
        <v>138038.42646028858</v>
      </c>
      <c r="P432" s="33" t="str">
        <f t="shared" si="360"/>
        <v>54,631621870174</v>
      </c>
      <c r="Q432" s="4" t="str">
        <f t="shared" si="361"/>
        <v>1+3871,63440670969i</v>
      </c>
      <c r="R432" s="4">
        <f t="shared" si="373"/>
        <v>3871.6345358541125</v>
      </c>
      <c r="S432" s="4">
        <f t="shared" si="374"/>
        <v>1.5705380379502605</v>
      </c>
      <c r="T432" s="4" t="str">
        <f t="shared" si="362"/>
        <v>1+13,1138937159775i</v>
      </c>
      <c r="U432" s="4">
        <f t="shared" si="375"/>
        <v>13.151965951672555</v>
      </c>
      <c r="V432" s="4">
        <f t="shared" si="376"/>
        <v>1.4946886137882602</v>
      </c>
      <c r="W432" t="str">
        <f t="shared" si="363"/>
        <v>1-3,45136419620619i</v>
      </c>
      <c r="X432" s="4">
        <f t="shared" si="377"/>
        <v>3.5933152957754761</v>
      </c>
      <c r="Y432" s="4">
        <f t="shared" si="378"/>
        <v>-1.2887782872513931</v>
      </c>
      <c r="Z432" t="str">
        <f t="shared" si="364"/>
        <v>0,92378157128147+0,474189525778002i</v>
      </c>
      <c r="AA432" s="4">
        <f t="shared" si="379"/>
        <v>1.0383776277428305</v>
      </c>
      <c r="AB432" s="4">
        <f t="shared" si="380"/>
        <v>0.47424157122366328</v>
      </c>
      <c r="AC432" s="47" t="str">
        <f t="shared" si="381"/>
        <v>-0,170105861346388-0,619277038876124i</v>
      </c>
      <c r="AD432" s="20">
        <f t="shared" si="382"/>
        <v>-3.8463916396021181</v>
      </c>
      <c r="AE432" s="43">
        <f t="shared" si="383"/>
        <v>-105.35944897135259</v>
      </c>
      <c r="AF432" t="str">
        <f t="shared" si="365"/>
        <v>171,265703090588</v>
      </c>
      <c r="AG432" t="str">
        <f t="shared" si="366"/>
        <v>1+3834,58279793002i</v>
      </c>
      <c r="AH432">
        <f t="shared" si="384"/>
        <v>3834.5829283222997</v>
      </c>
      <c r="AI432">
        <f t="shared" si="385"/>
        <v>1.5705355422376117</v>
      </c>
      <c r="AJ432" t="str">
        <f t="shared" si="367"/>
        <v>1+13,1138937159775i</v>
      </c>
      <c r="AK432">
        <f t="shared" si="386"/>
        <v>13.151965951672555</v>
      </c>
      <c r="AL432">
        <f t="shared" si="387"/>
        <v>1.4946886137882602</v>
      </c>
      <c r="AM432" t="str">
        <f t="shared" si="368"/>
        <v>1-1,09040517787399i</v>
      </c>
      <c r="AN432">
        <f t="shared" si="388"/>
        <v>1.4795213590666436</v>
      </c>
      <c r="AO432">
        <f t="shared" si="389"/>
        <v>-0.82861891243159957</v>
      </c>
      <c r="AP432" s="41" t="str">
        <f t="shared" si="390"/>
        <v>0,537188662528139-0,683186493516691i</v>
      </c>
      <c r="AQ432">
        <f t="shared" si="391"/>
        <v>-1.2187163511370289</v>
      </c>
      <c r="AR432" s="43">
        <f t="shared" si="392"/>
        <v>-51.822075396229586</v>
      </c>
      <c r="AS432" t="str">
        <f t="shared" si="369"/>
        <v>-0,0000166666666666667</v>
      </c>
      <c r="AT432" t="str">
        <f t="shared" si="370"/>
        <v>0,00132960311286994i</v>
      </c>
      <c r="AU432">
        <f t="shared" si="393"/>
        <v>1.3296031128699399E-3</v>
      </c>
      <c r="AV432">
        <f t="shared" si="394"/>
        <v>1.5707963267948966</v>
      </c>
      <c r="AW432" t="str">
        <f t="shared" si="371"/>
        <v>1+6,1612040646774i</v>
      </c>
      <c r="AX432">
        <f t="shared" si="395"/>
        <v>6.2418295015642098</v>
      </c>
      <c r="AY432">
        <f t="shared" si="396"/>
        <v>1.4098934982298159</v>
      </c>
      <c r="AZ432" t="str">
        <f t="shared" si="372"/>
        <v>1+286,215934277287i</v>
      </c>
      <c r="BA432">
        <f t="shared" si="397"/>
        <v>286.2176812047436</v>
      </c>
      <c r="BB432">
        <f t="shared" si="398"/>
        <v>1.567302475435703</v>
      </c>
      <c r="BC432" s="41" t="str">
        <f t="shared" si="399"/>
        <v>-0,0901043661183474+0,567686455701511i</v>
      </c>
      <c r="BD432">
        <f t="shared" si="400"/>
        <v>-4.8097743235461738</v>
      </c>
      <c r="BE432" s="43">
        <f t="shared" si="401"/>
        <v>99.018870051368324</v>
      </c>
      <c r="BF432" s="41" t="str">
        <f t="shared" si="402"/>
        <v>0,366882468106545-0,0407672284822033i</v>
      </c>
      <c r="BG432" s="20">
        <f t="shared" si="403"/>
        <v>-8.6561659631483003</v>
      </c>
      <c r="BH432" s="43">
        <f t="shared" si="404"/>
        <v>-6.3405789199842708</v>
      </c>
      <c r="BI432" s="41" t="str">
        <f t="shared" si="357"/>
        <v>0,339432675164573+0,366512813812572i</v>
      </c>
      <c r="BJ432" s="20">
        <f t="shared" si="405"/>
        <v>-6.0284906746832032</v>
      </c>
      <c r="BK432" s="43">
        <f t="shared" si="358"/>
        <v>47.196794655138703</v>
      </c>
      <c r="BL432">
        <f t="shared" si="406"/>
        <v>-8.6561659631483003</v>
      </c>
      <c r="BM432" s="43">
        <f t="shared" si="407"/>
        <v>-6.3405789199842708</v>
      </c>
    </row>
    <row r="433" spans="14:65" x14ac:dyDescent="0.25">
      <c r="N433" s="9">
        <v>15</v>
      </c>
      <c r="O433" s="34">
        <f t="shared" si="408"/>
        <v>141253.75446227577</v>
      </c>
      <c r="P433" s="33" t="str">
        <f t="shared" si="360"/>
        <v>54,631621870174</v>
      </c>
      <c r="Q433" s="4" t="str">
        <f t="shared" si="361"/>
        <v>1+3961,81635705908i</v>
      </c>
      <c r="R433" s="4">
        <f t="shared" si="373"/>
        <v>3961.8164832638176</v>
      </c>
      <c r="S433" s="4">
        <f t="shared" si="374"/>
        <v>1.570543917321908</v>
      </c>
      <c r="T433" s="4" t="str">
        <f t="shared" si="362"/>
        <v>1+13,4193555410744i</v>
      </c>
      <c r="U433" s="4">
        <f t="shared" si="375"/>
        <v>13.456563570903393</v>
      </c>
      <c r="V433" s="4">
        <f t="shared" si="376"/>
        <v>1.4964145800997259</v>
      </c>
      <c r="W433" t="str">
        <f t="shared" si="363"/>
        <v>1-3,5317567957865i</v>
      </c>
      <c r="X433" s="4">
        <f t="shared" si="377"/>
        <v>3.6706002321942011</v>
      </c>
      <c r="Y433" s="4">
        <f t="shared" si="378"/>
        <v>-1.2948734646129563</v>
      </c>
      <c r="Z433" t="str">
        <f t="shared" si="364"/>
        <v>0,920189507401244+0,485234818741565i</v>
      </c>
      <c r="AA433" s="4">
        <f t="shared" si="379"/>
        <v>1.0402891707840198</v>
      </c>
      <c r="AB433" s="4">
        <f t="shared" si="380"/>
        <v>0.48526439566938967</v>
      </c>
      <c r="AC433" s="47" t="str">
        <f t="shared" si="381"/>
        <v>-0,183123193437146-0,628606792560028i</v>
      </c>
      <c r="AD433" s="20">
        <f t="shared" si="382"/>
        <v>-3.6786616642693568</v>
      </c>
      <c r="AE433" s="43">
        <f t="shared" si="383"/>
        <v>-106.24168450656043</v>
      </c>
      <c r="AF433" t="str">
        <f t="shared" si="365"/>
        <v>171,265703090588</v>
      </c>
      <c r="AG433" t="str">
        <f t="shared" si="366"/>
        <v>1+3923,90170544212i</v>
      </c>
      <c r="AH433">
        <f t="shared" si="384"/>
        <v>3923.9018328663087</v>
      </c>
      <c r="AI433">
        <f t="shared" si="385"/>
        <v>1.5705414784186074</v>
      </c>
      <c r="AJ433" t="str">
        <f t="shared" si="367"/>
        <v>1+13,4193555410744i</v>
      </c>
      <c r="AK433">
        <f t="shared" si="386"/>
        <v>13.456563570903393</v>
      </c>
      <c r="AL433">
        <f t="shared" si="387"/>
        <v>1.4964145800997259</v>
      </c>
      <c r="AM433" t="str">
        <f t="shared" si="368"/>
        <v>1-1,11580397726511i</v>
      </c>
      <c r="AN433">
        <f t="shared" si="388"/>
        <v>1.4983385851270861</v>
      </c>
      <c r="AO433">
        <f t="shared" si="389"/>
        <v>-0.84007645520226903</v>
      </c>
      <c r="AP433" s="41" t="str">
        <f t="shared" si="390"/>
        <v>0,537188139946852-0,69704939363406i</v>
      </c>
      <c r="AQ433">
        <f t="shared" si="391"/>
        <v>-1.1100720198605722</v>
      </c>
      <c r="AR433" s="43">
        <f t="shared" si="392"/>
        <v>-52.379993773468286</v>
      </c>
      <c r="AS433" t="str">
        <f t="shared" si="369"/>
        <v>-0,0000166666666666667</v>
      </c>
      <c r="AT433" t="str">
        <f t="shared" si="370"/>
        <v>0,00136057354791449i</v>
      </c>
      <c r="AU433">
        <f t="shared" si="393"/>
        <v>1.3605735479144899E-3</v>
      </c>
      <c r="AV433">
        <f t="shared" si="394"/>
        <v>1.5707963267948966</v>
      </c>
      <c r="AW433" t="str">
        <f t="shared" si="371"/>
        <v>1+6,3047169433961i</v>
      </c>
      <c r="AX433">
        <f t="shared" si="395"/>
        <v>6.3835300372400434</v>
      </c>
      <c r="AY433">
        <f t="shared" si="396"/>
        <v>1.4134952933656351</v>
      </c>
      <c r="AZ433" t="str">
        <f t="shared" si="372"/>
        <v>1+292,882759825037i</v>
      </c>
      <c r="BA433">
        <f t="shared" si="397"/>
        <v>292.88446698780444</v>
      </c>
      <c r="BB433">
        <f t="shared" si="398"/>
        <v>1.5673820045769247</v>
      </c>
      <c r="BC433" s="41" t="str">
        <f t="shared" si="399"/>
        <v>-0,0861485210877957+0,555391776474399i</v>
      </c>
      <c r="BD433">
        <f t="shared" si="400"/>
        <v>-5.0047568040996087</v>
      </c>
      <c r="BE433" s="43">
        <f t="shared" si="401"/>
        <v>98.81705907555542</v>
      </c>
      <c r="BF433" s="41" t="str">
        <f t="shared" si="402"/>
        <v>0,364898835515272-0,0475515701919323i</v>
      </c>
      <c r="BG433" s="20">
        <f t="shared" si="403"/>
        <v>-8.683418468368977</v>
      </c>
      <c r="BH433" s="43">
        <f t="shared" si="404"/>
        <v>-7.4246254310050137</v>
      </c>
      <c r="BI433" s="41" t="str">
        <f t="shared" si="357"/>
        <v>0,340857537218498+0,358399649732779i</v>
      </c>
      <c r="BJ433" s="20">
        <f t="shared" si="405"/>
        <v>-6.1148288239601856</v>
      </c>
      <c r="BK433" s="43">
        <f t="shared" si="358"/>
        <v>46.437065302087127</v>
      </c>
      <c r="BL433">
        <f t="shared" si="406"/>
        <v>-8.683418468368977</v>
      </c>
      <c r="BM433" s="43">
        <f t="shared" si="407"/>
        <v>-7.4246254310050137</v>
      </c>
    </row>
    <row r="434" spans="14:65" x14ac:dyDescent="0.25">
      <c r="N434" s="9">
        <v>16</v>
      </c>
      <c r="O434" s="34">
        <f t="shared" si="408"/>
        <v>144543.97707459307</v>
      </c>
      <c r="P434" s="33" t="str">
        <f t="shared" si="360"/>
        <v>54,631621870174</v>
      </c>
      <c r="Q434" s="4" t="str">
        <f t="shared" si="361"/>
        <v>1+4054,09891488183i</v>
      </c>
      <c r="R434" s="4">
        <f t="shared" si="373"/>
        <v>4054.0990382137961</v>
      </c>
      <c r="S434" s="4">
        <f t="shared" si="374"/>
        <v>1.5705496628627345</v>
      </c>
      <c r="T434" s="4" t="str">
        <f t="shared" si="362"/>
        <v>1+13,7319324861054i</v>
      </c>
      <c r="U434" s="4">
        <f t="shared" si="375"/>
        <v>13.768295820578409</v>
      </c>
      <c r="V434" s="4">
        <f t="shared" si="376"/>
        <v>1.4981016877407864</v>
      </c>
      <c r="W434" t="str">
        <f t="shared" si="363"/>
        <v>1-3,61402197956826i</v>
      </c>
      <c r="X434" s="4">
        <f t="shared" si="377"/>
        <v>3.7498206448845632</v>
      </c>
      <c r="Y434" s="4">
        <f t="shared" si="378"/>
        <v>-1.3008502969680407</v>
      </c>
      <c r="Z434" t="str">
        <f t="shared" si="364"/>
        <v>0,916428154765838+0,496537389628865i</v>
      </c>
      <c r="AA434" s="4">
        <f t="shared" si="379"/>
        <v>1.0423003128402899</v>
      </c>
      <c r="AB434" s="4">
        <f t="shared" si="380"/>
        <v>0.49653985096430026</v>
      </c>
      <c r="AC434" s="47" t="str">
        <f t="shared" si="381"/>
        <v>-0,196646931610367-0,637870373741408i</v>
      </c>
      <c r="AD434" s="20">
        <f t="shared" si="382"/>
        <v>-3.5110488796536781</v>
      </c>
      <c r="AE434" s="43">
        <f t="shared" si="383"/>
        <v>-107.13383282367421</v>
      </c>
      <c r="AF434" t="str">
        <f t="shared" si="365"/>
        <v>171,265703090588</v>
      </c>
      <c r="AG434" t="str">
        <f t="shared" si="366"/>
        <v>1+4015,30111757742i</v>
      </c>
      <c r="AH434">
        <f t="shared" si="384"/>
        <v>4015.3012421010799</v>
      </c>
      <c r="AI434">
        <f t="shared" si="385"/>
        <v>1.5705472794756439</v>
      </c>
      <c r="AJ434" t="str">
        <f t="shared" si="367"/>
        <v>1+13,7319324861054i</v>
      </c>
      <c r="AK434">
        <f t="shared" si="386"/>
        <v>13.768295820578409</v>
      </c>
      <c r="AL434">
        <f t="shared" si="387"/>
        <v>1.4981016877407864</v>
      </c>
      <c r="AM434" t="str">
        <f t="shared" si="368"/>
        <v>1-1,14179439069438i</v>
      </c>
      <c r="AN434">
        <f t="shared" si="388"/>
        <v>1.5177926177910968</v>
      </c>
      <c r="AO434">
        <f t="shared" si="389"/>
        <v>-0.85150524493265811</v>
      </c>
      <c r="AP434" s="41" t="str">
        <f t="shared" si="390"/>
        <v>0,537187640885599-0,711281878554481i</v>
      </c>
      <c r="AQ434">
        <f t="shared" si="391"/>
        <v>-0.99910213324627628</v>
      </c>
      <c r="AR434" s="43">
        <f t="shared" si="392"/>
        <v>-52.938483418629843</v>
      </c>
      <c r="AS434" t="str">
        <f t="shared" si="369"/>
        <v>-0,0000166666666666667</v>
      </c>
      <c r="AT434" t="str">
        <f t="shared" si="370"/>
        <v>0,00139226537706346i</v>
      </c>
      <c r="AU434">
        <f t="shared" si="393"/>
        <v>1.3922653770634601E-3</v>
      </c>
      <c r="AV434">
        <f t="shared" si="394"/>
        <v>1.5707963267948966</v>
      </c>
      <c r="AW434" t="str">
        <f t="shared" si="371"/>
        <v>1+6,45157266649096i</v>
      </c>
      <c r="AX434">
        <f t="shared" si="395"/>
        <v>6.5286131659804498</v>
      </c>
      <c r="AY434">
        <f t="shared" si="396"/>
        <v>1.4170190826618712</v>
      </c>
      <c r="AZ434" t="str">
        <f t="shared" si="372"/>
        <v>1+299,704875688807i</v>
      </c>
      <c r="BA434">
        <f t="shared" si="397"/>
        <v>299.70654399202448</v>
      </c>
      <c r="BB434">
        <f t="shared" si="398"/>
        <v>1.5674597234556116</v>
      </c>
      <c r="BC434" s="41" t="str">
        <f t="shared" si="399"/>
        <v>-0,0823621672218643+0,543336404693016i</v>
      </c>
      <c r="BD434">
        <f t="shared" si="400"/>
        <v>-5.1999596876095975</v>
      </c>
      <c r="BE434" s="43">
        <f t="shared" si="401"/>
        <v>98.619613784724962</v>
      </c>
      <c r="BF434" s="41" t="str">
        <f t="shared" si="402"/>
        <v>0,362774462993807-0,0543090504271273i</v>
      </c>
      <c r="BG434" s="20">
        <f t="shared" si="403"/>
        <v>-8.7110085672632671</v>
      </c>
      <c r="BH434" s="43">
        <f t="shared" si="404"/>
        <v>-8.5142190389492551</v>
      </c>
      <c r="BI434" s="41" t="str">
        <f t="shared" ref="BI434:BI497" si="409">IMPRODUCT(AP434,BC434)</f>
        <v>0,342221400308948+0,35045631846769i</v>
      </c>
      <c r="BJ434" s="20">
        <f t="shared" si="405"/>
        <v>-6.1990618208558734</v>
      </c>
      <c r="BK434" s="43">
        <f t="shared" ref="BK434:BK497" si="410">(180/PI())*IMARGUMENT(BI434)</f>
        <v>45.681130366095061</v>
      </c>
      <c r="BL434">
        <f t="shared" si="406"/>
        <v>-8.7110085672632671</v>
      </c>
      <c r="BM434" s="43">
        <f t="shared" si="407"/>
        <v>-8.5142190389492551</v>
      </c>
    </row>
    <row r="435" spans="14:65" x14ac:dyDescent="0.25">
      <c r="N435" s="9">
        <v>17</v>
      </c>
      <c r="O435" s="34">
        <f t="shared" si="408"/>
        <v>147910.83881682079</v>
      </c>
      <c r="P435" s="33" t="str">
        <f t="shared" si="360"/>
        <v>54,631621870174</v>
      </c>
      <c r="Q435" s="4" t="str">
        <f t="shared" si="361"/>
        <v>1+4148,53100961157i</v>
      </c>
      <c r="R435" s="4">
        <f t="shared" si="373"/>
        <v>4148.5311301361589</v>
      </c>
      <c r="S435" s="4">
        <f t="shared" si="374"/>
        <v>1.5705552776191005</v>
      </c>
      <c r="T435" s="4" t="str">
        <f t="shared" si="362"/>
        <v>1+14,051790283504i</v>
      </c>
      <c r="U435" s="4">
        <f t="shared" si="375"/>
        <v>14.087327999715823</v>
      </c>
      <c r="V435" s="4">
        <f t="shared" si="376"/>
        <v>1.4997507928001697</v>
      </c>
      <c r="W435" t="str">
        <f t="shared" si="363"/>
        <v>1-3,69820336564081i</v>
      </c>
      <c r="X435" s="4">
        <f t="shared" si="377"/>
        <v>3.8310192029846331</v>
      </c>
      <c r="Y435" s="4">
        <f t="shared" si="378"/>
        <v>-1.3067102445759491</v>
      </c>
      <c r="Z435" t="str">
        <f t="shared" si="364"/>
        <v>0,912489535042018+0,508103231212595i</v>
      </c>
      <c r="AA435" s="4">
        <f t="shared" si="379"/>
        <v>1.0444166051580557</v>
      </c>
      <c r="AB435" s="4">
        <f t="shared" si="380"/>
        <v>0.50807325361971123</v>
      </c>
      <c r="AC435" s="47" t="str">
        <f t="shared" si="381"/>
        <v>-0,210690838029071-0,647047137331464i</v>
      </c>
      <c r="AD435" s="20">
        <f t="shared" si="382"/>
        <v>-3.3436214436748446</v>
      </c>
      <c r="AE435" s="43">
        <f t="shared" si="383"/>
        <v>-108.03623332732164</v>
      </c>
      <c r="AF435" t="str">
        <f t="shared" si="365"/>
        <v>171,265703090588</v>
      </c>
      <c r="AG435" t="str">
        <f t="shared" si="366"/>
        <v>1+4108,82949551405i</v>
      </c>
      <c r="AH435">
        <f t="shared" si="384"/>
        <v>4108.829617203206</v>
      </c>
      <c r="AI435">
        <f t="shared" si="385"/>
        <v>1.5705529484845171</v>
      </c>
      <c r="AJ435" t="str">
        <f t="shared" si="367"/>
        <v>1+14,051790283504i</v>
      </c>
      <c r="AK435">
        <f t="shared" si="386"/>
        <v>14.087327999715823</v>
      </c>
      <c r="AL435">
        <f t="shared" si="387"/>
        <v>1.4997507928001697</v>
      </c>
      <c r="AM435" t="str">
        <f t="shared" si="368"/>
        <v>1-1,16839019862303i</v>
      </c>
      <c r="AN435">
        <f t="shared" si="388"/>
        <v>1.5378997549380009</v>
      </c>
      <c r="AO435">
        <f t="shared" si="389"/>
        <v>-0.86289939988294595</v>
      </c>
      <c r="AP435" s="41" t="str">
        <f t="shared" si="390"/>
        <v>0,537187164285791-0,725891494530641i</v>
      </c>
      <c r="AQ435">
        <f t="shared" si="391"/>
        <v>-0.88582152970538564</v>
      </c>
      <c r="AR435" s="43">
        <f t="shared" si="392"/>
        <v>-53.4971584588056</v>
      </c>
      <c r="AS435" t="str">
        <f t="shared" si="369"/>
        <v>-0,0000166666666666667</v>
      </c>
      <c r="AT435" t="str">
        <f t="shared" si="370"/>
        <v>0,00142469540374416i</v>
      </c>
      <c r="AU435">
        <f t="shared" si="393"/>
        <v>1.42469540374416E-3</v>
      </c>
      <c r="AV435">
        <f t="shared" si="394"/>
        <v>1.5707963267948966</v>
      </c>
      <c r="AW435" t="str">
        <f t="shared" si="371"/>
        <v>1+6,60184909881024i</v>
      </c>
      <c r="AX435">
        <f t="shared" si="395"/>
        <v>6.6771559457198224</v>
      </c>
      <c r="AY435">
        <f t="shared" si="396"/>
        <v>1.4204663842572043</v>
      </c>
      <c r="AZ435" t="str">
        <f t="shared" si="372"/>
        <v>1+306,68589904473i</v>
      </c>
      <c r="BA435">
        <f t="shared" si="397"/>
        <v>306.68752937293408</v>
      </c>
      <c r="BB435">
        <f t="shared" si="398"/>
        <v>1.5675356732755841</v>
      </c>
      <c r="BC435" s="41" t="str">
        <f t="shared" si="399"/>
        <v>-0,0787384026583248+0,531517459619433i</v>
      </c>
      <c r="BD435">
        <f t="shared" si="400"/>
        <v>-5.3953735204907973</v>
      </c>
      <c r="BE435" s="43">
        <f t="shared" si="401"/>
        <v>98.426449556742867</v>
      </c>
      <c r="BF435" s="41" t="str">
        <f t="shared" si="402"/>
        <v>0,360506310729599-0,06103840095618i</v>
      </c>
      <c r="BG435" s="20">
        <f t="shared" si="403"/>
        <v>-8.7389949641656415</v>
      </c>
      <c r="BH435" s="43">
        <f t="shared" si="404"/>
        <v>-9.6097837705787548</v>
      </c>
      <c r="BI435" s="41" t="str">
        <f t="shared" si="409"/>
        <v>0,343526743887862+0,342679893683957i</v>
      </c>
      <c r="BJ435" s="20">
        <f t="shared" si="405"/>
        <v>-6.2811950501961809</v>
      </c>
      <c r="BK435" s="43">
        <f t="shared" si="410"/>
        <v>44.929291097937202</v>
      </c>
      <c r="BL435">
        <f t="shared" si="406"/>
        <v>-8.7389949641656415</v>
      </c>
      <c r="BM435" s="43">
        <f t="shared" si="407"/>
        <v>-9.6097837705787548</v>
      </c>
    </row>
    <row r="436" spans="14:65" x14ac:dyDescent="0.25">
      <c r="N436" s="9">
        <v>18</v>
      </c>
      <c r="O436" s="34">
        <f t="shared" si="408"/>
        <v>151356.12484362084</v>
      </c>
      <c r="P436" s="33" t="str">
        <f t="shared" si="360"/>
        <v>54,631621870174</v>
      </c>
      <c r="Q436" s="4" t="str">
        <f t="shared" si="361"/>
        <v>1+4245,16271039493i</v>
      </c>
      <c r="R436" s="4">
        <f t="shared" si="373"/>
        <v>4245.1628281760441</v>
      </c>
      <c r="S436" s="4">
        <f t="shared" si="374"/>
        <v>1.5705607645680226</v>
      </c>
      <c r="T436" s="4" t="str">
        <f t="shared" si="362"/>
        <v>1+14,3790985261085i</v>
      </c>
      <c r="U436" s="4">
        <f t="shared" si="375"/>
        <v>14.413829276897088</v>
      </c>
      <c r="V436" s="4">
        <f t="shared" si="376"/>
        <v>1.5013627337565278</v>
      </c>
      <c r="W436" t="str">
        <f t="shared" si="363"/>
        <v>1-3,78434558808934i</v>
      </c>
      <c r="X436" s="4">
        <f t="shared" si="377"/>
        <v>3.9142395851673739</v>
      </c>
      <c r="Y436" s="4">
        <f t="shared" si="378"/>
        <v>-1.3124548040129695</v>
      </c>
      <c r="Z436" t="str">
        <f t="shared" si="364"/>
        <v>0,908365293889289+0,519938475855056i</v>
      </c>
      <c r="AA436" s="4">
        <f t="shared" si="379"/>
        <v>1.0466439345914413</v>
      </c>
      <c r="AB436" s="4">
        <f t="shared" si="380"/>
        <v>0.51986997407935998</v>
      </c>
      <c r="AC436" s="47" t="str">
        <f t="shared" si="381"/>
        <v>-0,225268399170534-0,656114954634281i</v>
      </c>
      <c r="AD436" s="20">
        <f t="shared" si="382"/>
        <v>-3.1764488301707012</v>
      </c>
      <c r="AE436" s="43">
        <f t="shared" si="383"/>
        <v>-108.94923159805042</v>
      </c>
      <c r="AF436" t="str">
        <f t="shared" si="365"/>
        <v>171,265703090588</v>
      </c>
      <c r="AG436" t="str">
        <f t="shared" si="366"/>
        <v>1+4204,53642923599i</v>
      </c>
      <c r="AH436">
        <f t="shared" si="384"/>
        <v>4204.5365481551626</v>
      </c>
      <c r="AI436">
        <f t="shared" si="385"/>
        <v>1.5705584884510091</v>
      </c>
      <c r="AJ436" t="str">
        <f t="shared" si="367"/>
        <v>1+14,3790985261085i</v>
      </c>
      <c r="AK436">
        <f t="shared" si="386"/>
        <v>14.413829276897088</v>
      </c>
      <c r="AL436">
        <f t="shared" si="387"/>
        <v>1.5013627337565278</v>
      </c>
      <c r="AM436" t="str">
        <f t="shared" si="368"/>
        <v>1-1,19560550250047i</v>
      </c>
      <c r="AN436">
        <f t="shared" si="388"/>
        <v>1.5586765275737622</v>
      </c>
      <c r="AO436">
        <f t="shared" si="389"/>
        <v>-0.87425312813911227</v>
      </c>
      <c r="AP436" s="41" t="str">
        <f t="shared" si="390"/>
        <v>0,537186709136513-0,74088598777508i</v>
      </c>
      <c r="AQ436">
        <f t="shared" si="391"/>
        <v>-0.77024722096749054</v>
      </c>
      <c r="AR436" s="43">
        <f t="shared" si="392"/>
        <v>-54.055639172697383</v>
      </c>
      <c r="AS436" t="str">
        <f t="shared" si="369"/>
        <v>-0,0000166666666666667</v>
      </c>
      <c r="AT436" t="str">
        <f t="shared" si="370"/>
        <v>0,001457880822786i</v>
      </c>
      <c r="AU436">
        <f t="shared" si="393"/>
        <v>1.4578808227860001E-3</v>
      </c>
      <c r="AV436">
        <f t="shared" si="394"/>
        <v>1.5707963267948966</v>
      </c>
      <c r="AW436" t="str">
        <f t="shared" si="371"/>
        <v>1+6,75562591890754i</v>
      </c>
      <c r="AX436">
        <f t="shared" si="395"/>
        <v>6.8292372602081519</v>
      </c>
      <c r="AY436">
        <f t="shared" si="396"/>
        <v>1.4238386980489999</v>
      </c>
      <c r="AZ436" t="str">
        <f t="shared" si="372"/>
        <v>1+313,829531323796i</v>
      </c>
      <c r="BA436">
        <f t="shared" si="397"/>
        <v>313.83112454139001</v>
      </c>
      <c r="BB436">
        <f t="shared" si="398"/>
        <v>1.5676098943029357</v>
      </c>
      <c r="BC436" s="41" t="str">
        <f t="shared" si="399"/>
        <v>-0,0752705754922022+0,519931969460588i</v>
      </c>
      <c r="BD436">
        <f t="shared" si="400"/>
        <v>-5.5909892350022332</v>
      </c>
      <c r="BE436" s="43">
        <f t="shared" si="401"/>
        <v>98.237482760897592</v>
      </c>
      <c r="BF436" s="41" t="str">
        <f t="shared" si="402"/>
        <v>0,358091222601319-0,0677380922136071i</v>
      </c>
      <c r="BG436" s="20">
        <f t="shared" si="403"/>
        <v>-8.7674380651729411</v>
      </c>
      <c r="BH436" s="43">
        <f t="shared" si="404"/>
        <v>-10.711748837152822</v>
      </c>
      <c r="BI436" s="41" t="str">
        <f t="shared" si="409"/>
        <v>0,344775958026183+0,335067458323338i</v>
      </c>
      <c r="BJ436" s="20">
        <f t="shared" si="405"/>
        <v>-6.3612364559697232</v>
      </c>
      <c r="BK436" s="43">
        <f t="shared" si="410"/>
        <v>44.181843588200195</v>
      </c>
      <c r="BL436">
        <f t="shared" si="406"/>
        <v>-8.7674380651729411</v>
      </c>
      <c r="BM436" s="43">
        <f t="shared" si="407"/>
        <v>-10.711748837152822</v>
      </c>
    </row>
    <row r="437" spans="14:65" x14ac:dyDescent="0.25">
      <c r="N437" s="9">
        <v>19</v>
      </c>
      <c r="O437" s="34">
        <f t="shared" si="408"/>
        <v>154881.66189124843</v>
      </c>
      <c r="P437" s="33" t="str">
        <f t="shared" si="360"/>
        <v>54,631621870174</v>
      </c>
      <c r="Q437" s="4" t="str">
        <f t="shared" si="361"/>
        <v>1+4344,04525263871i</v>
      </c>
      <c r="R437" s="4">
        <f t="shared" si="373"/>
        <v>4344.0453677387986</v>
      </c>
      <c r="S437" s="4">
        <f t="shared" si="374"/>
        <v>1.5705661266187523</v>
      </c>
      <c r="T437" s="4" t="str">
        <f t="shared" si="362"/>
        <v>1+14,7140307570813i</v>
      </c>
      <c r="U437" s="4">
        <f t="shared" si="375"/>
        <v>14.747972780024194</v>
      </c>
      <c r="V437" s="4">
        <f t="shared" si="376"/>
        <v>1.5029383317563361</v>
      </c>
      <c r="W437" t="str">
        <f t="shared" si="363"/>
        <v>1-3,87249432066042i</v>
      </c>
      <c r="X437" s="4">
        <f t="shared" si="377"/>
        <v>3.9995265049187023</v>
      </c>
      <c r="Y437" s="4">
        <f t="shared" si="378"/>
        <v>-1.3180855039377102</v>
      </c>
      <c r="Z437" t="str">
        <f t="shared" si="364"/>
        <v>0,90404668323922+0,532049398759616i</v>
      </c>
      <c r="AA437" s="4">
        <f t="shared" si="379"/>
        <v>1.0489885453122467</v>
      </c>
      <c r="AB437" s="4">
        <f t="shared" si="380"/>
        <v>0.5319354300925645</v>
      </c>
      <c r="AC437" s="47" t="str">
        <f t="shared" si="381"/>
        <v>-0,240392734159166-0,665050148726242i</v>
      </c>
      <c r="AD437" s="20">
        <f t="shared" si="382"/>
        <v>-3.0096019542128456</v>
      </c>
      <c r="AE437" s="43">
        <f t="shared" si="383"/>
        <v>-109.87317875417821</v>
      </c>
      <c r="AF437" t="str">
        <f t="shared" si="365"/>
        <v>171,265703090588</v>
      </c>
      <c r="AG437" t="str">
        <f t="shared" si="366"/>
        <v>1+4302,47266382634i</v>
      </c>
      <c r="AH437">
        <f t="shared" si="384"/>
        <v>4302.4727800385817</v>
      </c>
      <c r="AI437">
        <f t="shared" si="385"/>
        <v>1.570563902312482</v>
      </c>
      <c r="AJ437" t="str">
        <f t="shared" si="367"/>
        <v>1+14,7140307570813i</v>
      </c>
      <c r="AK437">
        <f t="shared" si="386"/>
        <v>14.747972780024194</v>
      </c>
      <c r="AL437">
        <f t="shared" si="387"/>
        <v>1.5029383317563361</v>
      </c>
      <c r="AM437" t="str">
        <f t="shared" si="368"/>
        <v>1-1,22345473224104i</v>
      </c>
      <c r="AN437">
        <f t="shared" si="388"/>
        <v>1.5801397032677189</v>
      </c>
      <c r="AO437">
        <f t="shared" si="389"/>
        <v>-0.88556074180598743</v>
      </c>
      <c r="AP437" s="41" t="str">
        <f t="shared" si="390"/>
        <v>0,537186274472319-0,756273308567264i</v>
      </c>
      <c r="AQ437">
        <f t="shared" si="391"/>
        <v>-0.65239833536192571</v>
      </c>
      <c r="AR437" s="43">
        <f t="shared" si="392"/>
        <v>-54.613552787988738</v>
      </c>
      <c r="AS437" t="str">
        <f t="shared" si="369"/>
        <v>-0,0000166666666666667</v>
      </c>
      <c r="AT437" t="str">
        <f t="shared" si="370"/>
        <v>0,00149183922953741i</v>
      </c>
      <c r="AU437">
        <f t="shared" si="393"/>
        <v>1.4918392295374099E-3</v>
      </c>
      <c r="AV437">
        <f t="shared" si="394"/>
        <v>1.5707963267948966</v>
      </c>
      <c r="AW437" t="str">
        <f t="shared" si="371"/>
        <v>1+6,91298466128833i</v>
      </c>
      <c r="AX437">
        <f t="shared" si="395"/>
        <v>6.9849378613705451</v>
      </c>
      <c r="AY437">
        <f t="shared" si="396"/>
        <v>1.4271375051107471</v>
      </c>
      <c r="AZ437" t="str">
        <f t="shared" si="372"/>
        <v>1+321,139560174394i</v>
      </c>
      <c r="BA437">
        <f t="shared" si="397"/>
        <v>321.14111712610583</v>
      </c>
      <c r="BB437">
        <f t="shared" si="398"/>
        <v>1.5676824258873641</v>
      </c>
      <c r="BC437" s="41" t="str">
        <f t="shared" si="399"/>
        <v>-0,071952277461996+0,508576882381163i</v>
      </c>
      <c r="BD437">
        <f t="shared" si="400"/>
        <v>-5.7867981351959061</v>
      </c>
      <c r="BE437" s="43">
        <f t="shared" si="401"/>
        <v>98.052630792500679</v>
      </c>
      <c r="BF437" s="41" t="str">
        <f t="shared" si="402"/>
        <v>0,355525935974389-0,0744063144584601i</v>
      </c>
      <c r="BG437" s="20">
        <f t="shared" si="403"/>
        <v>-8.7964000894087544</v>
      </c>
      <c r="BH437" s="43">
        <f t="shared" si="404"/>
        <v>-11.820547961677537</v>
      </c>
      <c r="BI437" s="41" t="str">
        <f t="shared" si="409"/>
        <v>0,345971345629618+0,327616107664217i</v>
      </c>
      <c r="BJ437" s="20">
        <f t="shared" si="405"/>
        <v>-6.4391964705578388</v>
      </c>
      <c r="BK437" s="43">
        <f t="shared" si="410"/>
        <v>43.439078004511941</v>
      </c>
      <c r="BL437">
        <f t="shared" si="406"/>
        <v>-8.7964000894087544</v>
      </c>
      <c r="BM437" s="43">
        <f t="shared" si="407"/>
        <v>-11.820547961677537</v>
      </c>
    </row>
    <row r="438" spans="14:65" x14ac:dyDescent="0.25">
      <c r="N438" s="9">
        <v>20</v>
      </c>
      <c r="O438" s="34">
        <f t="shared" si="408"/>
        <v>158489.31924611164</v>
      </c>
      <c r="P438" s="33" t="str">
        <f t="shared" si="360"/>
        <v>54,631621870174</v>
      </c>
      <c r="Q438" s="4" t="str">
        <f t="shared" si="361"/>
        <v>1+4445,23106517567i</v>
      </c>
      <c r="R438" s="4">
        <f t="shared" si="373"/>
        <v>4445.2311776557608</v>
      </c>
      <c r="S438" s="4">
        <f t="shared" si="374"/>
        <v>1.5705713666143191</v>
      </c>
      <c r="T438" s="4" t="str">
        <f t="shared" si="362"/>
        <v>1+15,0567645619248i</v>
      </c>
      <c r="U438" s="4">
        <f t="shared" si="375"/>
        <v>15.089935688174238</v>
      </c>
      <c r="V438" s="4">
        <f t="shared" si="376"/>
        <v>1.5044783908934312</v>
      </c>
      <c r="W438" t="str">
        <f t="shared" si="363"/>
        <v>1-3,96269630097882i</v>
      </c>
      <c r="X438" s="4">
        <f t="shared" si="377"/>
        <v>4.0869257362706284</v>
      </c>
      <c r="Y438" s="4">
        <f t="shared" si="378"/>
        <v>-1.3236039010669962</v>
      </c>
      <c r="Z438" t="str">
        <f t="shared" si="364"/>
        <v>0,899524542739616+0,544442421297903i</v>
      </c>
      <c r="AA438" s="4">
        <f t="shared" si="379"/>
        <v>1.0514570619381651</v>
      </c>
      <c r="AB438" s="4">
        <f t="shared" si="380"/>
        <v>0.54427507913265927</v>
      </c>
      <c r="AC438" s="47" t="str">
        <f t="shared" si="381"/>
        <v>-0,256076493221104-0,67382743138748i</v>
      </c>
      <c r="AD438" s="20">
        <f t="shared" si="382"/>
        <v>-2.8431533020172948</v>
      </c>
      <c r="AE438" s="43">
        <f t="shared" si="383"/>
        <v>-110.808430770908</v>
      </c>
      <c r="AF438" t="str">
        <f t="shared" si="365"/>
        <v>171,265703090588</v>
      </c>
      <c r="AG438" t="str">
        <f t="shared" si="366"/>
        <v>1+4402,690126373i</v>
      </c>
      <c r="AH438">
        <f t="shared" si="384"/>
        <v>4402.6902399399278</v>
      </c>
      <c r="AI438">
        <f t="shared" si="385"/>
        <v>1.5705691929394356</v>
      </c>
      <c r="AJ438" t="str">
        <f t="shared" si="367"/>
        <v>1+15,0567645619248i</v>
      </c>
      <c r="AK438">
        <f t="shared" si="386"/>
        <v>15.089935688174238</v>
      </c>
      <c r="AL438">
        <f t="shared" si="387"/>
        <v>1.5044783908934312</v>
      </c>
      <c r="AM438" t="str">
        <f t="shared" si="368"/>
        <v>1-1,25195265387498i</v>
      </c>
      <c r="AN438">
        <f t="shared" si="388"/>
        <v>1.6023062901781935</v>
      </c>
      <c r="AO438">
        <f t="shared" si="389"/>
        <v>-0.89681667055679515</v>
      </c>
      <c r="AP438" s="41" t="str">
        <f t="shared" si="390"/>
        <v>0,537185859371237-0,772061615469022i</v>
      </c>
      <c r="AQ438">
        <f t="shared" si="391"/>
        <v>-0.53229605259060153</v>
      </c>
      <c r="AR438" s="43">
        <f t="shared" si="392"/>
        <v>-55.170534241749436</v>
      </c>
      <c r="AS438" t="str">
        <f t="shared" si="369"/>
        <v>-0,0000166666666666667</v>
      </c>
      <c r="AT438" t="str">
        <f t="shared" si="370"/>
        <v>0,00152658862919515i</v>
      </c>
      <c r="AU438">
        <f t="shared" si="393"/>
        <v>1.5265886291951499E-3</v>
      </c>
      <c r="AV438">
        <f t="shared" si="394"/>
        <v>1.5707963267948966</v>
      </c>
      <c r="AW438" t="str">
        <f t="shared" si="371"/>
        <v>1+7,07400875964068i</v>
      </c>
      <c r="AX438">
        <f t="shared" si="395"/>
        <v>7.1443404126254419</v>
      </c>
      <c r="AY438">
        <f t="shared" si="396"/>
        <v>1.4303642671799395</v>
      </c>
      <c r="AZ438" t="str">
        <f t="shared" si="372"/>
        <v>1+328,619861470581i</v>
      </c>
      <c r="BA438">
        <f t="shared" si="397"/>
        <v>328.62138298191098</v>
      </c>
      <c r="BB438">
        <f t="shared" si="398"/>
        <v>1.5677533064830216</v>
      </c>
      <c r="BC438" s="41" t="str">
        <f t="shared" si="399"/>
        <v>-0,0687773375351071+0,497449076821961i</v>
      </c>
      <c r="BD438">
        <f t="shared" si="400"/>
        <v>-5.9827918832276827</v>
      </c>
      <c r="BE438" s="43">
        <f t="shared" si="401"/>
        <v>97.871812103423608</v>
      </c>
      <c r="BF438" s="41" t="str">
        <f t="shared" si="402"/>
        <v>0,35280709309009-0,0810409584596924i</v>
      </c>
      <c r="BG438" s="20">
        <f t="shared" si="403"/>
        <v>-8.8259451852449704</v>
      </c>
      <c r="BH438" s="43">
        <f t="shared" si="404"/>
        <v>-12.936618667484378</v>
      </c>
      <c r="BI438" s="41" t="str">
        <f t="shared" si="409"/>
        <v>0,347115124695675+0,320322952151047i</v>
      </c>
      <c r="BJ438" s="20">
        <f t="shared" si="405"/>
        <v>-6.5150879358182747</v>
      </c>
      <c r="BK438" s="43">
        <f t="shared" si="410"/>
        <v>42.701277861674193</v>
      </c>
      <c r="BL438">
        <f t="shared" si="406"/>
        <v>-8.8259451852449704</v>
      </c>
      <c r="BM438" s="43">
        <f t="shared" si="407"/>
        <v>-12.936618667484378</v>
      </c>
    </row>
    <row r="439" spans="14:65" x14ac:dyDescent="0.25">
      <c r="N439" s="9">
        <v>21</v>
      </c>
      <c r="O439" s="34">
        <f t="shared" si="408"/>
        <v>162181.00973589328</v>
      </c>
      <c r="P439" s="33" t="str">
        <f t="shared" si="360"/>
        <v>54,631621870174</v>
      </c>
      <c r="Q439" s="4" t="str">
        <f t="shared" si="361"/>
        <v>1+4548,77379806295i</v>
      </c>
      <c r="R439" s="4">
        <f t="shared" si="373"/>
        <v>4548.7739079826806</v>
      </c>
      <c r="S439" s="4">
        <f t="shared" si="374"/>
        <v>1.5705764873330363</v>
      </c>
      <c r="T439" s="4" t="str">
        <f t="shared" si="362"/>
        <v>1+15,4074816626388i</v>
      </c>
      <c r="U439" s="4">
        <f t="shared" si="375"/>
        <v>15.439899325596359</v>
      </c>
      <c r="V439" s="4">
        <f t="shared" si="376"/>
        <v>1.5059836984896333</v>
      </c>
      <c r="W439" t="str">
        <f t="shared" si="363"/>
        <v>1-4,05499935532848i</v>
      </c>
      <c r="X439" s="4">
        <f t="shared" si="377"/>
        <v>4.1764841400051296</v>
      </c>
      <c r="Y439" s="4">
        <f t="shared" si="378"/>
        <v>-1.3290115763594885</v>
      </c>
      <c r="Z439" t="str">
        <f t="shared" si="364"/>
        <v>0,894789280324185+0,557124114414508i</v>
      </c>
      <c r="AA439" s="4">
        <f t="shared" si="379"/>
        <v>1.0540565141609926</v>
      </c>
      <c r="AB439" s="4">
        <f t="shared" si="380"/>
        <v>0.55689440977101146</v>
      </c>
      <c r="AC439" s="47" t="str">
        <f t="shared" si="381"/>
        <v>-0,272331745625381-0,682419842415918i</v>
      </c>
      <c r="AD439" s="20">
        <f t="shared" si="382"/>
        <v>-2.6771770650945421</v>
      </c>
      <c r="AE439" s="43">
        <f t="shared" si="383"/>
        <v>-111.75534775144185</v>
      </c>
      <c r="AF439" t="str">
        <f t="shared" si="365"/>
        <v>171,265703090588</v>
      </c>
      <c r="AG439" t="str">
        <f t="shared" si="366"/>
        <v>1+4505,24195350115i</v>
      </c>
      <c r="AH439">
        <f t="shared" si="384"/>
        <v>4505.2420644829808</v>
      </c>
      <c r="AI439">
        <f t="shared" si="385"/>
        <v>1.570574363137029</v>
      </c>
      <c r="AJ439" t="str">
        <f t="shared" si="367"/>
        <v>1+15,4074816626388i</v>
      </c>
      <c r="AK439">
        <f t="shared" si="386"/>
        <v>15.439899325596359</v>
      </c>
      <c r="AL439">
        <f t="shared" si="387"/>
        <v>1.5059836984896333</v>
      </c>
      <c r="AM439" t="str">
        <f t="shared" si="368"/>
        <v>1-1,28111437737755i</v>
      </c>
      <c r="AN439">
        <f t="shared" si="388"/>
        <v>1.6251935416815648</v>
      </c>
      <c r="AO439">
        <f t="shared" si="389"/>
        <v>-0.90801547446518205</v>
      </c>
      <c r="AP439" s="41" t="str">
        <f t="shared" si="390"/>
        <v>0,537185462952779-0,788259279650247i</v>
      </c>
      <c r="AQ439">
        <f t="shared" si="391"/>
        <v>-0.40996353059112289</v>
      </c>
      <c r="AR439" s="43">
        <f t="shared" si="392"/>
        <v>-55.726226899664589</v>
      </c>
      <c r="AS439" t="str">
        <f t="shared" si="369"/>
        <v>-0,0000166666666666667</v>
      </c>
      <c r="AT439" t="str">
        <f t="shared" si="370"/>
        <v>0,00156214744635088i</v>
      </c>
      <c r="AU439">
        <f t="shared" si="393"/>
        <v>1.5621474463508799E-3</v>
      </c>
      <c r="AV439">
        <f t="shared" si="394"/>
        <v>1.5707963267948966</v>
      </c>
      <c r="AW439" t="str">
        <f t="shared" si="371"/>
        <v>1+7,23878359107295i</v>
      </c>
      <c r="AX439">
        <f t="shared" si="395"/>
        <v>7.307529533186095</v>
      </c>
      <c r="AY439">
        <f t="shared" si="396"/>
        <v>1.4335204262119252</v>
      </c>
      <c r="AZ439" t="str">
        <f t="shared" si="372"/>
        <v>1+336,274401367116i</v>
      </c>
      <c r="BA439">
        <f t="shared" si="397"/>
        <v>336.27588824477471</v>
      </c>
      <c r="BB439">
        <f t="shared" si="398"/>
        <v>1.5678225736688873</v>
      </c>
      <c r="BC439" s="41" t="str">
        <f t="shared" si="399"/>
        <v>-0,0657398154249318+0,486545371154244i</v>
      </c>
      <c r="BD439">
        <f t="shared" si="400"/>
        <v>-6.1789624860353936</v>
      </c>
      <c r="BE439" s="43">
        <f t="shared" si="401"/>
        <v>97.694946228827561</v>
      </c>
      <c r="BF439" s="41" t="str">
        <f t="shared" si="402"/>
        <v>0,349931254203036-0,0876395957696507i</v>
      </c>
      <c r="BG439" s="20">
        <f t="shared" si="403"/>
        <v>-8.8561395511299246</v>
      </c>
      <c r="BH439" s="43">
        <f t="shared" si="404"/>
        <v>-14.06040152261429</v>
      </c>
      <c r="BI439" s="41" t="str">
        <f t="shared" si="409"/>
        <v>0,348209430599734+0,313185120002221i</v>
      </c>
      <c r="BJ439" s="20">
        <f t="shared" si="405"/>
        <v>-6.5889260166265204</v>
      </c>
      <c r="BK439" s="43">
        <f t="shared" si="410"/>
        <v>41.968719329162973</v>
      </c>
      <c r="BL439">
        <f t="shared" si="406"/>
        <v>-8.8561395511299246</v>
      </c>
      <c r="BM439" s="43">
        <f t="shared" si="407"/>
        <v>-14.06040152261429</v>
      </c>
    </row>
    <row r="440" spans="14:65" x14ac:dyDescent="0.25">
      <c r="N440" s="9">
        <v>22</v>
      </c>
      <c r="O440" s="34">
        <f t="shared" si="408"/>
        <v>165958.69074375604</v>
      </c>
      <c r="P440" s="33" t="str">
        <f t="shared" si="360"/>
        <v>54,631621870174</v>
      </c>
      <c r="Q440" s="4" t="str">
        <f t="shared" si="361"/>
        <v>1+4654,72835102815i</v>
      </c>
      <c r="R440" s="4">
        <f t="shared" si="373"/>
        <v>4654.728458445803</v>
      </c>
      <c r="S440" s="4">
        <f t="shared" si="374"/>
        <v>1.5705814914899761</v>
      </c>
      <c r="T440" s="4" t="str">
        <f t="shared" si="362"/>
        <v>1+15,7663680140726i</v>
      </c>
      <c r="U440" s="4">
        <f t="shared" si="375"/>
        <v>15.798049257904331</v>
      </c>
      <c r="V440" s="4">
        <f t="shared" si="376"/>
        <v>1.5074550253759629</v>
      </c>
      <c r="W440" t="str">
        <f t="shared" si="363"/>
        <v>1-4,14945242401062i</v>
      </c>
      <c r="X440" s="4">
        <f t="shared" si="377"/>
        <v>4.2682496903446978</v>
      </c>
      <c r="Y440" s="4">
        <f t="shared" si="378"/>
        <v>-1.334310131403414</v>
      </c>
      <c r="Z440" t="str">
        <f t="shared" si="364"/>
        <v>0,889830851866473+0,570101202110989i</v>
      </c>
      <c r="AA440" s="4">
        <f t="shared" si="379"/>
        <v>1.0567943629589476</v>
      </c>
      <c r="AB440" s="4">
        <f t="shared" si="380"/>
        <v>0.56979893191158637</v>
      </c>
      <c r="AC440" s="47" t="str">
        <f t="shared" si="381"/>
        <v>-0,289169856490416-0,690798692280043i</v>
      </c>
      <c r="AD440" s="20">
        <f t="shared" si="382"/>
        <v>-2.5117492782161839</v>
      </c>
      <c r="AE440" s="43">
        <f t="shared" si="383"/>
        <v>-112.71429314446651</v>
      </c>
      <c r="AF440" t="str">
        <f t="shared" si="365"/>
        <v>171,265703090588</v>
      </c>
      <c r="AG440" t="str">
        <f t="shared" si="366"/>
        <v>1+4610,18251954699i</v>
      </c>
      <c r="AH440">
        <f t="shared" si="384"/>
        <v>4610.1826280025643</v>
      </c>
      <c r="AI440">
        <f t="shared" si="385"/>
        <v>1.5705794156465687</v>
      </c>
      <c r="AJ440" t="str">
        <f t="shared" si="367"/>
        <v>1+15,7663680140726i</v>
      </c>
      <c r="AK440">
        <f t="shared" si="386"/>
        <v>15.798049257904331</v>
      </c>
      <c r="AL440">
        <f t="shared" si="387"/>
        <v>1.5074550253759629</v>
      </c>
      <c r="AM440" t="str">
        <f t="shared" si="368"/>
        <v>1-1,31095536468058i</v>
      </c>
      <c r="AN440">
        <f t="shared" si="388"/>
        <v>1.6488189616160995</v>
      </c>
      <c r="AO440">
        <f t="shared" si="389"/>
        <v>-0.91915185605381522</v>
      </c>
      <c r="AP440" s="41" t="str">
        <f t="shared" si="390"/>
        <v>0,53718508437609-0,804874889327479i</v>
      </c>
      <c r="AQ440">
        <f t="shared" si="391"/>
        <v>-0.28542582513646436</v>
      </c>
      <c r="AR440" s="43">
        <f t="shared" si="392"/>
        <v>-56.280283230342192</v>
      </c>
      <c r="AS440" t="str">
        <f t="shared" si="369"/>
        <v>-0,0000166666666666667</v>
      </c>
      <c r="AT440" t="str">
        <f t="shared" si="370"/>
        <v>0,00159853453476013i</v>
      </c>
      <c r="AU440">
        <f t="shared" si="393"/>
        <v>1.59853453476013E-3</v>
      </c>
      <c r="AV440">
        <f t="shared" si="394"/>
        <v>1.5707963267948966</v>
      </c>
      <c r="AW440" t="str">
        <f t="shared" si="371"/>
        <v>1+7,40739652138189i</v>
      </c>
      <c r="AX440">
        <f t="shared" si="395"/>
        <v>7.4745918433704812</v>
      </c>
      <c r="AY440">
        <f t="shared" si="396"/>
        <v>1.4366074039954615</v>
      </c>
      <c r="AZ440" t="str">
        <f t="shared" si="372"/>
        <v>1+344,107238402377i</v>
      </c>
      <c r="BA440">
        <f t="shared" si="397"/>
        <v>344.10869143471268</v>
      </c>
      <c r="BB440">
        <f t="shared" si="398"/>
        <v>1.56789026416868</v>
      </c>
      <c r="BC440" s="41" t="str">
        <f t="shared" si="399"/>
        <v>-0,0628339950688745+0,475862532700268i</v>
      </c>
      <c r="BD440">
        <f t="shared" si="400"/>
        <v>-6.3753022823863406</v>
      </c>
      <c r="BE440" s="43">
        <f t="shared" si="401"/>
        <v>97.521953810331524</v>
      </c>
      <c r="BF440" s="41" t="str">
        <f t="shared" si="402"/>
        <v>0,3468949126312-0,0941994586657932i</v>
      </c>
      <c r="BG440" s="20">
        <f t="shared" si="403"/>
        <v>-8.8870515606025311</v>
      </c>
      <c r="BH440" s="43">
        <f t="shared" si="404"/>
        <v>-15.192339334134997</v>
      </c>
      <c r="BI440" s="41" t="str">
        <f t="shared" si="409"/>
        <v>0,349256318399462+0,306199759607077i</v>
      </c>
      <c r="BJ440" s="20">
        <f t="shared" si="405"/>
        <v>-6.6607281075228038</v>
      </c>
      <c r="BK440" s="43">
        <f t="shared" si="410"/>
        <v>41.241670579989332</v>
      </c>
      <c r="BL440">
        <f t="shared" si="406"/>
        <v>-8.8870515606025311</v>
      </c>
      <c r="BM440" s="43">
        <f t="shared" si="407"/>
        <v>-15.192339334134997</v>
      </c>
    </row>
    <row r="441" spans="14:65" x14ac:dyDescent="0.25">
      <c r="N441" s="9">
        <v>23</v>
      </c>
      <c r="O441" s="34">
        <f t="shared" si="408"/>
        <v>169824.36524617471</v>
      </c>
      <c r="P441" s="33" t="str">
        <f t="shared" si="360"/>
        <v>54,631621870174</v>
      </c>
      <c r="Q441" s="4" t="str">
        <f t="shared" si="361"/>
        <v>1+4763,15090257763i</v>
      </c>
      <c r="R441" s="4">
        <f t="shared" si="373"/>
        <v>4763.1510075501592</v>
      </c>
      <c r="S441" s="4">
        <f t="shared" si="374"/>
        <v>1.5705863817384076</v>
      </c>
      <c r="T441" s="4" t="str">
        <f t="shared" si="362"/>
        <v>1+16,1336139025198i</v>
      </c>
      <c r="U441" s="4">
        <f t="shared" si="375"/>
        <v>16.164575390513054</v>
      </c>
      <c r="V441" s="4">
        <f t="shared" si="376"/>
        <v>1.5088931261739853</v>
      </c>
      <c r="W441" t="str">
        <f t="shared" si="363"/>
        <v>1-4,24610558729244i</v>
      </c>
      <c r="X441" s="4">
        <f t="shared" si="377"/>
        <v>4.3622715021461094</v>
      </c>
      <c r="Y441" s="4">
        <f t="shared" si="378"/>
        <v>-1.339501185004154</v>
      </c>
      <c r="Z441" t="str">
        <f t="shared" si="364"/>
        <v>0,884638739874936+0,583380565011007i</v>
      </c>
      <c r="AA441" s="4">
        <f t="shared" si="379"/>
        <v>1.0596785284793102</v>
      </c>
      <c r="AB441" s="4">
        <f t="shared" si="380"/>
        <v>0.58299416578591912</v>
      </c>
      <c r="AC441" s="47" t="str">
        <f t="shared" si="381"/>
        <v>-0,30660135186186-0,698933509202915i</v>
      </c>
      <c r="AD441" s="20">
        <f t="shared" si="382"/>
        <v>-2.3469479607010104</v>
      </c>
      <c r="AE441" s="43">
        <f t="shared" si="383"/>
        <v>-113.68563290205726</v>
      </c>
      <c r="AF441" t="str">
        <f t="shared" si="365"/>
        <v>171,265703090588</v>
      </c>
      <c r="AG441" t="str">
        <f t="shared" si="366"/>
        <v>1+4717,56746538765i</v>
      </c>
      <c r="AH441">
        <f t="shared" si="384"/>
        <v>4717.567571374474</v>
      </c>
      <c r="AI441">
        <f t="shared" si="385"/>
        <v>1.5705843531469605</v>
      </c>
      <c r="AJ441" t="str">
        <f t="shared" si="367"/>
        <v>1+16,1336139025198i</v>
      </c>
      <c r="AK441">
        <f t="shared" si="386"/>
        <v>16.164575390513054</v>
      </c>
      <c r="AL441">
        <f t="shared" si="387"/>
        <v>1.5088931261739853</v>
      </c>
      <c r="AM441" t="str">
        <f t="shared" si="368"/>
        <v>1-1,34149143787049i</v>
      </c>
      <c r="AN441">
        <f t="shared" si="388"/>
        <v>1.673200310148141</v>
      </c>
      <c r="AO441">
        <f t="shared" si="389"/>
        <v>-0.93022067150203647</v>
      </c>
      <c r="AP441" s="41" t="str">
        <f t="shared" si="390"/>
        <v>0,537184722838156-0,821917254317404i</v>
      </c>
      <c r="AQ441">
        <f t="shared" si="391"/>
        <v>-0.15870980286881806</v>
      </c>
      <c r="AR441" s="43">
        <f t="shared" si="392"/>
        <v>-56.832365431427156</v>
      </c>
      <c r="AS441" t="str">
        <f t="shared" si="369"/>
        <v>-0,0000166666666666667</v>
      </c>
      <c r="AT441" t="str">
        <f t="shared" si="370"/>
        <v>0,00163576918733882i</v>
      </c>
      <c r="AU441">
        <f t="shared" si="393"/>
        <v>1.63576918733882E-3</v>
      </c>
      <c r="AV441">
        <f t="shared" si="394"/>
        <v>1.5707963267948966</v>
      </c>
      <c r="AW441" t="str">
        <f t="shared" si="371"/>
        <v>1+7,57993695137489i</v>
      </c>
      <c r="AX441">
        <f t="shared" si="395"/>
        <v>7.6456160109449955</v>
      </c>
      <c r="AY441">
        <f t="shared" si="396"/>
        <v>1.4396266018258941</v>
      </c>
      <c r="AZ441" t="str">
        <f t="shared" si="372"/>
        <v>1+352,122525650234i</v>
      </c>
      <c r="BA441">
        <f t="shared" si="397"/>
        <v>352.12394560765068</v>
      </c>
      <c r="BB441">
        <f t="shared" si="398"/>
        <v>1.5679564138703159</v>
      </c>
      <c r="BC441" s="41" t="str">
        <f t="shared" si="399"/>
        <v>-0,0600543780935016+0,465397286149644i</v>
      </c>
      <c r="BD441">
        <f t="shared" si="400"/>
        <v>-6.571803930298266</v>
      </c>
      <c r="BE441" s="43">
        <f t="shared" si="401"/>
        <v>97.352756615852499</v>
      </c>
      <c r="BF441" s="41" t="str">
        <f t="shared" si="402"/>
        <v>0,343694511890775-0,100717419862432i</v>
      </c>
      <c r="BG441" s="20">
        <f t="shared" si="403"/>
        <v>-8.9187518909992711</v>
      </c>
      <c r="BH441" s="43">
        <f t="shared" si="404"/>
        <v>-16.332876286204751</v>
      </c>
      <c r="BI441" s="41" t="str">
        <f t="shared" si="409"/>
        <v>0,350257765147511+0,299364041722277i</v>
      </c>
      <c r="BJ441" s="20">
        <f t="shared" si="405"/>
        <v>-6.730513733167081</v>
      </c>
      <c r="BK441" s="43">
        <f t="shared" si="410"/>
        <v>40.520391184425399</v>
      </c>
      <c r="BL441">
        <f t="shared" si="406"/>
        <v>-8.9187518909992711</v>
      </c>
      <c r="BM441" s="43">
        <f t="shared" si="407"/>
        <v>-16.332876286204751</v>
      </c>
    </row>
    <row r="442" spans="14:65" x14ac:dyDescent="0.25">
      <c r="N442" s="9">
        <v>24</v>
      </c>
      <c r="O442" s="34">
        <f t="shared" si="408"/>
        <v>173780.0828749378</v>
      </c>
      <c r="P442" s="33" t="str">
        <f t="shared" si="360"/>
        <v>54,631621870174</v>
      </c>
      <c r="Q442" s="4" t="str">
        <f t="shared" si="361"/>
        <v>1+4874,09893978346i</v>
      </c>
      <c r="R442" s="4">
        <f t="shared" si="373"/>
        <v>4874.0990423665226</v>
      </c>
      <c r="S442" s="4">
        <f t="shared" si="374"/>
        <v>1.5705911606712042</v>
      </c>
      <c r="T442" s="4" t="str">
        <f t="shared" si="362"/>
        <v>1+16,5094140466119i</v>
      </c>
      <c r="U442" s="4">
        <f t="shared" si="375"/>
        <v>16.539672069375086</v>
      </c>
      <c r="V442" s="4">
        <f t="shared" si="376"/>
        <v>1.5102987395768777</v>
      </c>
      <c r="W442" t="str">
        <f t="shared" si="363"/>
        <v>1-4,34501009196053i</v>
      </c>
      <c r="X442" s="4">
        <f t="shared" si="377"/>
        <v>4.4585998586146811</v>
      </c>
      <c r="Y442" s="4">
        <f t="shared" si="378"/>
        <v>-1.3445863699669047</v>
      </c>
      <c r="Z442" t="str">
        <f t="shared" si="364"/>
        <v>0,879201931183919+0,596969244008553i</v>
      </c>
      <c r="AA442" s="4">
        <f t="shared" si="379"/>
        <v>1.0627174196792277</v>
      </c>
      <c r="AB442" s="4">
        <f t="shared" si="380"/>
        <v>0.59648562960371676</v>
      </c>
      <c r="AC442" s="47" t="str">
        <f t="shared" si="381"/>
        <v>-0,324635771511266-0,70679199191737i</v>
      </c>
      <c r="AD442" s="20">
        <f t="shared" si="382"/>
        <v>-2.1828532604344373</v>
      </c>
      <c r="AE442" s="43">
        <f t="shared" si="383"/>
        <v>-114.66973457174662</v>
      </c>
      <c r="AF442" t="str">
        <f t="shared" si="365"/>
        <v>171,265703090588</v>
      </c>
      <c r="AG442" t="str">
        <f t="shared" si="366"/>
        <v>1+4827,45372794288i</v>
      </c>
      <c r="AH442">
        <f t="shared" si="384"/>
        <v>4827.4538315171494</v>
      </c>
      <c r="AI442">
        <f t="shared" si="385"/>
        <v>1.5705891782561321</v>
      </c>
      <c r="AJ442" t="str">
        <f t="shared" si="367"/>
        <v>1+16,5094140466119i</v>
      </c>
      <c r="AK442">
        <f t="shared" si="386"/>
        <v>16.539672069375086</v>
      </c>
      <c r="AL442">
        <f t="shared" si="387"/>
        <v>1.5102987395768777</v>
      </c>
      <c r="AM442" t="str">
        <f t="shared" si="368"/>
        <v>1-1,37273878757751i</v>
      </c>
      <c r="AN442">
        <f t="shared" si="388"/>
        <v>1.6983556102653448</v>
      </c>
      <c r="AO442">
        <f t="shared" si="389"/>
        <v>-0.94121694096422037</v>
      </c>
      <c r="AP442" s="41" t="str">
        <f t="shared" si="390"/>
        <v>0,537184377572106-0,839395410708035i</v>
      </c>
      <c r="AQ442">
        <f t="shared" si="391"/>
        <v>-2.9844048495583645E-2</v>
      </c>
      <c r="AR442" s="43">
        <f t="shared" si="392"/>
        <v>-57.38214600477739</v>
      </c>
      <c r="AS442" t="str">
        <f t="shared" si="369"/>
        <v>-0,0000166666666666667</v>
      </c>
      <c r="AT442" t="str">
        <f t="shared" si="370"/>
        <v>0,0016738711463926i</v>
      </c>
      <c r="AU442">
        <f t="shared" si="393"/>
        <v>1.6738711463926E-3</v>
      </c>
      <c r="AV442">
        <f t="shared" si="394"/>
        <v>1.5707963267948966</v>
      </c>
      <c r="AW442" t="str">
        <f t="shared" si="371"/>
        <v>1+7,7564963642719i</v>
      </c>
      <c r="AX442">
        <f t="shared" si="395"/>
        <v>7.8206927985289889</v>
      </c>
      <c r="AY442">
        <f t="shared" si="396"/>
        <v>1.4425794002321084</v>
      </c>
      <c r="AZ442" t="str">
        <f t="shared" si="372"/>
        <v>1+360,324512922086i</v>
      </c>
      <c r="BA442">
        <f t="shared" si="397"/>
        <v>360.32590055745163</v>
      </c>
      <c r="BB442">
        <f t="shared" si="398"/>
        <v>1.5680210578449256</v>
      </c>
      <c r="BC442" s="41" t="str">
        <f t="shared" si="399"/>
        <v>-0,0573956772903198+0,455146321400988i</v>
      </c>
      <c r="BD442">
        <f t="shared" si="400"/>
        <v>-6.7684603948297841</v>
      </c>
      <c r="BE442" s="43">
        <f t="shared" si="401"/>
        <v>97.187277556339552</v>
      </c>
      <c r="BF442" s="41" t="str">
        <f t="shared" si="402"/>
        <v>0,340326465095422-0,107189972119053i</v>
      </c>
      <c r="BG442" s="20">
        <f t="shared" si="403"/>
        <v>-8.9513136552642276</v>
      </c>
      <c r="BH442" s="43">
        <f t="shared" si="404"/>
        <v>-17.482457015407128</v>
      </c>
      <c r="BI442" s="41" t="str">
        <f t="shared" si="409"/>
        <v>0,351215672204104+0,292675161477997i</v>
      </c>
      <c r="BJ442" s="20">
        <f t="shared" si="405"/>
        <v>-6.7983044433253674</v>
      </c>
      <c r="BK442" s="43">
        <f t="shared" si="410"/>
        <v>39.805131551562127</v>
      </c>
      <c r="BL442">
        <f t="shared" si="406"/>
        <v>-8.9513136552642276</v>
      </c>
      <c r="BM442" s="43">
        <f t="shared" si="407"/>
        <v>-17.482457015407128</v>
      </c>
    </row>
    <row r="443" spans="14:65" x14ac:dyDescent="0.25">
      <c r="N443" s="9">
        <v>25</v>
      </c>
      <c r="O443" s="34">
        <f t="shared" si="408"/>
        <v>177827.94100389251</v>
      </c>
      <c r="P443" s="33" t="str">
        <f t="shared" si="360"/>
        <v>54,631621870174</v>
      </c>
      <c r="Q443" s="4" t="str">
        <f t="shared" si="361"/>
        <v>1+4987,63128876349i</v>
      </c>
      <c r="R443" s="4">
        <f t="shared" si="373"/>
        <v>4987.6313890114779</v>
      </c>
      <c r="S443" s="4">
        <f t="shared" si="374"/>
        <v>1.5705958308222185</v>
      </c>
      <c r="T443" s="4" t="str">
        <f t="shared" si="362"/>
        <v>1+16,8939677005595i</v>
      </c>
      <c r="U443" s="4">
        <f t="shared" si="375"/>
        <v>16.923538184066228</v>
      </c>
      <c r="V443" s="4">
        <f t="shared" si="376"/>
        <v>1.5116725886298124</v>
      </c>
      <c r="W443" t="str">
        <f t="shared" si="363"/>
        <v>1-4,44621837849238i</v>
      </c>
      <c r="X443" s="4">
        <f t="shared" si="377"/>
        <v>4.5572862395556637</v>
      </c>
      <c r="Y443" s="4">
        <f t="shared" si="378"/>
        <v>-1.349567330069098</v>
      </c>
      <c r="Z443" t="str">
        <f t="shared" si="364"/>
        <v>0,873508893593263+0,610874444001094i</v>
      </c>
      <c r="AA443" s="4">
        <f t="shared" si="379"/>
        <v>1.0659199658136498</v>
      </c>
      <c r="AB443" s="4">
        <f t="shared" si="380"/>
        <v>0.61027882574994841</v>
      </c>
      <c r="AC443" s="47" t="str">
        <f t="shared" si="381"/>
        <v>-0,343281508967122-0,714339969489833i</v>
      </c>
      <c r="AD443" s="20">
        <f t="shared" si="382"/>
        <v>-2.0195475999382557</v>
      </c>
      <c r="AE443" s="43">
        <f t="shared" si="383"/>
        <v>-115.66696631622204</v>
      </c>
      <c r="AF443" t="str">
        <f t="shared" si="365"/>
        <v>171,265703090588</v>
      </c>
      <c r="AG443" t="str">
        <f t="shared" si="366"/>
        <v>1+4939,89957036357i</v>
      </c>
      <c r="AH443">
        <f t="shared" si="384"/>
        <v>4939.8996715802023</v>
      </c>
      <c r="AI443">
        <f t="shared" si="385"/>
        <v>1.5705938935324191</v>
      </c>
      <c r="AJ443" t="str">
        <f t="shared" si="367"/>
        <v>1+16,8939677005595i</v>
      </c>
      <c r="AK443">
        <f t="shared" si="386"/>
        <v>16.923538184066228</v>
      </c>
      <c r="AL443">
        <f t="shared" si="387"/>
        <v>1.5116725886298124</v>
      </c>
      <c r="AM443" t="str">
        <f t="shared" si="368"/>
        <v>1-1,40471398156005i</v>
      </c>
      <c r="AN443">
        <f t="shared" si="388"/>
        <v>1.7243031548977368</v>
      </c>
      <c r="AO443">
        <f t="shared" si="389"/>
        <v>-0.9521358579593534</v>
      </c>
      <c r="AP443" s="41" t="str">
        <f t="shared" si="390"/>
        <v>0,537184047845591-0,857318625649699i</v>
      </c>
      <c r="AQ443">
        <f t="shared" si="391"/>
        <v>0.10114123309263223</v>
      </c>
      <c r="AR443" s="43">
        <f t="shared" si="392"/>
        <v>-57.929308278461377</v>
      </c>
      <c r="AS443" t="str">
        <f t="shared" si="369"/>
        <v>-0,0000166666666666667</v>
      </c>
      <c r="AT443" t="str">
        <f t="shared" si="370"/>
        <v>0,0017128606140845i</v>
      </c>
      <c r="AU443">
        <f t="shared" si="393"/>
        <v>1.7128606140844999E-3</v>
      </c>
      <c r="AV443">
        <f t="shared" si="394"/>
        <v>1.5707963267948966</v>
      </c>
      <c r="AW443" t="str">
        <f t="shared" si="371"/>
        <v>1+7,93716837421062i</v>
      </c>
      <c r="AX443">
        <f t="shared" si="395"/>
        <v>7.9999151120852057</v>
      </c>
      <c r="AY443">
        <f t="shared" si="396"/>
        <v>1.4454671587535339</v>
      </c>
      <c r="AZ443" t="str">
        <f t="shared" si="372"/>
        <v>1+368,717549020148i</v>
      </c>
      <c r="BA443">
        <f t="shared" si="397"/>
        <v>368.71890506919397</v>
      </c>
      <c r="BB443">
        <f t="shared" si="398"/>
        <v>1.5680842303654374</v>
      </c>
      <c r="BC443" s="41" t="str">
        <f t="shared" si="399"/>
        <v>-0,0548528101230355+0,445106300857216i</v>
      </c>
      <c r="BD443">
        <f t="shared" si="400"/>
        <v>-6.9652649362433907</v>
      </c>
      <c r="BE443" s="43">
        <f t="shared" si="401"/>
        <v>97.02544069961543</v>
      </c>
      <c r="BF443" s="41" t="str">
        <f t="shared" si="402"/>
        <v>0,336787176804199-0,113613207899318i</v>
      </c>
      <c r="BG443" s="20">
        <f t="shared" si="403"/>
        <v>-8.9848125361816429</v>
      </c>
      <c r="BH443" s="43">
        <f t="shared" si="404"/>
        <v>-18.641525616606589</v>
      </c>
      <c r="BI443" s="41" t="str">
        <f t="shared" si="409"/>
        <v>0,352131867541332+0,286130340203761i</v>
      </c>
      <c r="BJ443" s="20">
        <f t="shared" si="405"/>
        <v>-6.8641237031507618</v>
      </c>
      <c r="BK443" s="43">
        <f t="shared" si="410"/>
        <v>39.096132421154024</v>
      </c>
      <c r="BL443">
        <f t="shared" si="406"/>
        <v>-8.9848125361816429</v>
      </c>
      <c r="BM443" s="43">
        <f t="shared" si="407"/>
        <v>-18.641525616606589</v>
      </c>
    </row>
    <row r="444" spans="14:65" x14ac:dyDescent="0.25">
      <c r="N444" s="9">
        <v>26</v>
      </c>
      <c r="O444" s="34">
        <f t="shared" si="408"/>
        <v>181970.08586099857</v>
      </c>
      <c r="P444" s="33" t="str">
        <f t="shared" si="360"/>
        <v>54,631621870174</v>
      </c>
      <c r="Q444" s="4" t="str">
        <f t="shared" si="361"/>
        <v>1+5103,80814587187i</v>
      </c>
      <c r="R444" s="4">
        <f t="shared" si="373"/>
        <v>5103.8082438379342</v>
      </c>
      <c r="S444" s="4">
        <f t="shared" si="374"/>
        <v>1.5706003946676257</v>
      </c>
      <c r="T444" s="4" t="str">
        <f t="shared" si="362"/>
        <v>1+17,2874787597998i</v>
      </c>
      <c r="U444" s="4">
        <f t="shared" si="375"/>
        <v>17.316377273278874</v>
      </c>
      <c r="V444" s="4">
        <f t="shared" si="376"/>
        <v>1.5130153810093248</v>
      </c>
      <c r="W444" t="str">
        <f t="shared" si="363"/>
        <v>1-4,54978410886112i</v>
      </c>
      <c r="X444" s="4">
        <f t="shared" si="377"/>
        <v>4.6583833501811736</v>
      </c>
      <c r="Y444" s="4">
        <f t="shared" si="378"/>
        <v>-1.3544457172169733</v>
      </c>
      <c r="Z444" t="str">
        <f t="shared" si="364"/>
        <v>0,867547551406964+0,625103537709717i</v>
      </c>
      <c r="AA444" s="4">
        <f t="shared" si="379"/>
        <v>1.0692956498599546</v>
      </c>
      <c r="AB444" s="4">
        <f t="shared" si="380"/>
        <v>0.62437922541601054</v>
      </c>
      <c r="AC444" s="47" t="str">
        <f t="shared" si="381"/>
        <v>-0,362545638374683-0,721541369777208i</v>
      </c>
      <c r="AD444" s="20">
        <f t="shared" si="382"/>
        <v>-1.8571158236918583</v>
      </c>
      <c r="AE444" s="43">
        <f t="shared" si="383"/>
        <v>-116.67769585391106</v>
      </c>
      <c r="AF444" t="str">
        <f t="shared" si="365"/>
        <v>171,265703090588</v>
      </c>
      <c r="AG444" t="str">
        <f t="shared" si="366"/>
        <v>1+5054,96461292371i</v>
      </c>
      <c r="AH444">
        <f t="shared" si="384"/>
        <v>5054.96471183637</v>
      </c>
      <c r="AI444">
        <f t="shared" si="385"/>
        <v>1.5705985014759225</v>
      </c>
      <c r="AJ444" t="str">
        <f t="shared" si="367"/>
        <v>1+17,2874787597998i</v>
      </c>
      <c r="AK444">
        <f t="shared" si="386"/>
        <v>17.316377273278874</v>
      </c>
      <c r="AL444">
        <f t="shared" si="387"/>
        <v>1.5130153810093248</v>
      </c>
      <c r="AM444" t="str">
        <f t="shared" si="368"/>
        <v>1-1,43743397348919i</v>
      </c>
      <c r="AN444">
        <f t="shared" si="388"/>
        <v>1.751061514665011</v>
      </c>
      <c r="AO444">
        <f t="shared" si="389"/>
        <v>-0.9629727978019994</v>
      </c>
      <c r="AP444" s="41" t="str">
        <f t="shared" si="390"/>
        <v>0,537183732959211-0,87569640226862i</v>
      </c>
      <c r="AQ444">
        <f t="shared" si="391"/>
        <v>0.23421431900977557</v>
      </c>
      <c r="AR444" s="43">
        <f t="shared" si="392"/>
        <v>-58.473546873888736</v>
      </c>
      <c r="AS444" t="str">
        <f t="shared" si="369"/>
        <v>-0,0000166666666666667</v>
      </c>
      <c r="AT444" t="str">
        <f t="shared" si="370"/>
        <v>0,00175275826314638i</v>
      </c>
      <c r="AU444">
        <f t="shared" si="393"/>
        <v>1.75275826314638E-3</v>
      </c>
      <c r="AV444">
        <f t="shared" si="394"/>
        <v>1.5707963267948966</v>
      </c>
      <c r="AW444" t="str">
        <f t="shared" si="371"/>
        <v>1+8,12204877588209i</v>
      </c>
      <c r="AX444">
        <f t="shared" si="395"/>
        <v>8.183378050524599</v>
      </c>
      <c r="AY444">
        <f t="shared" si="396"/>
        <v>1.4482912157637269</v>
      </c>
      <c r="AZ444" t="str">
        <f t="shared" si="372"/>
        <v>1+377,30608404325i</v>
      </c>
      <c r="BA444">
        <f t="shared" si="397"/>
        <v>377.30740922496085</v>
      </c>
      <c r="BB444">
        <f t="shared" si="398"/>
        <v>1.5681459649247402</v>
      </c>
      <c r="BC444" s="41" t="str">
        <f t="shared" si="399"/>
        <v>-0,0524208922847941+0,435273866202561i</v>
      </c>
      <c r="BD444">
        <f t="shared" si="400"/>
        <v>-7.1622110985351117</v>
      </c>
      <c r="BE444" s="43">
        <f t="shared" si="401"/>
        <v>96.867171281525202</v>
      </c>
      <c r="BF444" s="41" t="str">
        <f t="shared" si="402"/>
        <v>0,333073067505578-0,11998279926611i</v>
      </c>
      <c r="BG444" s="20">
        <f t="shared" si="403"/>
        <v>-9.0193269222269752</v>
      </c>
      <c r="BH444" s="43">
        <f t="shared" si="404"/>
        <v>-19.810524572385855</v>
      </c>
      <c r="BI444" s="41" t="str">
        <f t="shared" si="409"/>
        <v>0,353008108032537+0,279726827083785i</v>
      </c>
      <c r="BJ444" s="20">
        <f t="shared" si="405"/>
        <v>-6.9279967795253352</v>
      </c>
      <c r="BK444" s="43">
        <f t="shared" si="410"/>
        <v>38.39362440763648</v>
      </c>
      <c r="BL444">
        <f t="shared" si="406"/>
        <v>-9.0193269222269752</v>
      </c>
      <c r="BM444" s="43">
        <f t="shared" si="407"/>
        <v>-19.810524572385855</v>
      </c>
    </row>
    <row r="445" spans="14:65" x14ac:dyDescent="0.25">
      <c r="N445" s="9">
        <v>27</v>
      </c>
      <c r="O445" s="34">
        <f t="shared" si="408"/>
        <v>186208.71366628664</v>
      </c>
      <c r="P445" s="33" t="str">
        <f t="shared" si="360"/>
        <v>54,631621870174</v>
      </c>
      <c r="Q445" s="4" t="str">
        <f t="shared" si="361"/>
        <v>1+5222,69110961611i</v>
      </c>
      <c r="R445" s="4">
        <f t="shared" si="373"/>
        <v>5222.6912053521946</v>
      </c>
      <c r="S445" s="4">
        <f t="shared" si="374"/>
        <v>1.5706048546272362</v>
      </c>
      <c r="T445" s="4" t="str">
        <f t="shared" si="362"/>
        <v>1+17,6901558691055i</v>
      </c>
      <c r="U445" s="4">
        <f t="shared" si="375"/>
        <v>17.718397632778416</v>
      </c>
      <c r="V445" s="4">
        <f t="shared" si="376"/>
        <v>1.5143278093013379</v>
      </c>
      <c r="W445" t="str">
        <f t="shared" si="363"/>
        <v>1-4,65576219498792i</v>
      </c>
      <c r="X445" s="4">
        <f t="shared" si="377"/>
        <v>4.7619451504903685</v>
      </c>
      <c r="Y445" s="4">
        <f t="shared" si="378"/>
        <v>-1.3592231887803268</v>
      </c>
      <c r="Z445" t="str">
        <f t="shared" si="364"/>
        <v>0,861305259818988+0,639664069588261i</v>
      </c>
      <c r="AA445" s="4">
        <f t="shared" si="379"/>
        <v>1.0728545439685988</v>
      </c>
      <c r="AB445" s="4">
        <f t="shared" si="380"/>
        <v>0.63879225154994801</v>
      </c>
      <c r="AC445" s="47" t="str">
        <f t="shared" si="381"/>
        <v>-0,382433727891309-0,728358198255873i</v>
      </c>
      <c r="AD445" s="20">
        <f t="shared" si="382"/>
        <v>-1.6956453457801821</v>
      </c>
      <c r="AE445" s="43">
        <f t="shared" si="383"/>
        <v>-117.70228931353789</v>
      </c>
      <c r="AF445" t="str">
        <f t="shared" si="365"/>
        <v>171,265703090588</v>
      </c>
      <c r="AG445" t="str">
        <f t="shared" si="366"/>
        <v>1+5172,70986463203i</v>
      </c>
      <c r="AH445">
        <f t="shared" si="384"/>
        <v>5172.7099612931634</v>
      </c>
      <c r="AI445">
        <f t="shared" si="385"/>
        <v>1.570603004529834</v>
      </c>
      <c r="AJ445" t="str">
        <f t="shared" si="367"/>
        <v>1+17,6901558691055i</v>
      </c>
      <c r="AK445">
        <f t="shared" si="386"/>
        <v>17.718397632778416</v>
      </c>
      <c r="AL445">
        <f t="shared" si="387"/>
        <v>1.5143278093013379</v>
      </c>
      <c r="AM445" t="str">
        <f t="shared" si="368"/>
        <v>1-1,47091611193776i</v>
      </c>
      <c r="AN445">
        <f t="shared" si="388"/>
        <v>1.7786495462451555</v>
      </c>
      <c r="AO445">
        <f t="shared" si="389"/>
        <v>-0.9737233250538736</v>
      </c>
      <c r="AP445" s="41" t="str">
        <f t="shared" si="390"/>
        <v>0,537183432245049-0,894538484705623i</v>
      </c>
      <c r="AQ445">
        <f t="shared" si="391"/>
        <v>0.36934207408616415</v>
      </c>
      <c r="AR445" s="43">
        <f t="shared" si="392"/>
        <v>-59.014568116899689</v>
      </c>
      <c r="AS445" t="str">
        <f t="shared" si="369"/>
        <v>-0,0000166666666666667</v>
      </c>
      <c r="AT445" t="str">
        <f t="shared" si="370"/>
        <v>0,00179358524783987i</v>
      </c>
      <c r="AU445">
        <f t="shared" si="393"/>
        <v>1.79358524783987E-3</v>
      </c>
      <c r="AV445">
        <f t="shared" si="394"/>
        <v>1.5707963267948966</v>
      </c>
      <c r="AW445" t="str">
        <f t="shared" si="371"/>
        <v>1+8,31123559532261i</v>
      </c>
      <c r="AX445">
        <f t="shared" si="395"/>
        <v>8.3711789564527646</v>
      </c>
      <c r="AY445">
        <f t="shared" si="396"/>
        <v>1.4510528883372042</v>
      </c>
      <c r="AZ445" t="str">
        <f t="shared" si="372"/>
        <v>1+386,094671746351i</v>
      </c>
      <c r="BA445">
        <f t="shared" si="397"/>
        <v>386.0959667633457</v>
      </c>
      <c r="BB445">
        <f t="shared" si="398"/>
        <v>1.5682062942534312</v>
      </c>
      <c r="BC445" s="41" t="str">
        <f t="shared" si="399"/>
        <v>-0,0500952313216653+0,425645644688261i</v>
      </c>
      <c r="BD445">
        <f t="shared" si="400"/>
        <v>-7.3592926983301643</v>
      </c>
      <c r="BE445" s="43">
        <f t="shared" si="401"/>
        <v>96.712395714582769</v>
      </c>
      <c r="BF445" s="41" t="str">
        <f t="shared" si="402"/>
        <v>0,329180600924523-0,126293978232172i</v>
      </c>
      <c r="BG445" s="20">
        <f t="shared" si="403"/>
        <v>-9.0549380441103509</v>
      </c>
      <c r="BH445" s="43">
        <f t="shared" si="404"/>
        <v>-20.989893598955135</v>
      </c>
      <c r="BI445" s="41" t="str">
        <f t="shared" si="409"/>
        <v>0,353846081720503+0,273461900651257i</v>
      </c>
      <c r="BJ445" s="20">
        <f t="shared" si="405"/>
        <v>-6.9899506242439999</v>
      </c>
      <c r="BK445" s="43">
        <f t="shared" si="410"/>
        <v>37.697827597683116</v>
      </c>
      <c r="BL445">
        <f t="shared" si="406"/>
        <v>-9.0549380441103509</v>
      </c>
      <c r="BM445" s="43">
        <f t="shared" si="407"/>
        <v>-20.989893598955135</v>
      </c>
    </row>
    <row r="446" spans="14:65" x14ac:dyDescent="0.25">
      <c r="N446" s="9">
        <v>28</v>
      </c>
      <c r="O446" s="34">
        <f t="shared" si="408"/>
        <v>190546.07179632492</v>
      </c>
      <c r="P446" s="33" t="str">
        <f t="shared" si="360"/>
        <v>54,631621870174</v>
      </c>
      <c r="Q446" s="4" t="str">
        <f t="shared" si="361"/>
        <v>1+5344,3432133172i</v>
      </c>
      <c r="R446" s="4">
        <f t="shared" si="373"/>
        <v>5344.3433068740651</v>
      </c>
      <c r="S446" s="4">
        <f t="shared" si="374"/>
        <v>1.5706092130657787</v>
      </c>
      <c r="T446" s="4" t="str">
        <f t="shared" si="362"/>
        <v>1+18,1022125332101i</v>
      </c>
      <c r="U446" s="4">
        <f t="shared" si="375"/>
        <v>18.129812425877681</v>
      </c>
      <c r="V446" s="4">
        <f t="shared" si="376"/>
        <v>1.5156105512775446</v>
      </c>
      <c r="W446" t="str">
        <f t="shared" si="363"/>
        <v>1-4,76420882785683i</v>
      </c>
      <c r="X446" s="4">
        <f t="shared" si="377"/>
        <v>4.868026885240976</v>
      </c>
      <c r="Y446" s="4">
        <f t="shared" si="378"/>
        <v>-1.3639014050992404</v>
      </c>
      <c r="Z446" t="str">
        <f t="shared" si="364"/>
        <v>0,854768778091957+0,654563759823461i</v>
      </c>
      <c r="AA446" s="4">
        <f t="shared" si="379"/>
        <v>1.0766073470281738</v>
      </c>
      <c r="AB446" s="4">
        <f t="shared" si="380"/>
        <v>0.65352326000939942</v>
      </c>
      <c r="AC446" s="47" t="str">
        <f t="shared" si="381"/>
        <v>-0,402949639464019-0,734750529141773i</v>
      </c>
      <c r="AD446" s="20">
        <f t="shared" si="382"/>
        <v>-1.5352262968038055</v>
      </c>
      <c r="AE446" s="43">
        <f t="shared" si="383"/>
        <v>-118.74110999565181</v>
      </c>
      <c r="AF446" t="str">
        <f t="shared" si="365"/>
        <v>171,265703090588</v>
      </c>
      <c r="AG446" t="str">
        <f t="shared" si="366"/>
        <v>1+5293,19775557952i</v>
      </c>
      <c r="AH446">
        <f t="shared" si="384"/>
        <v>5293.1978500403775</v>
      </c>
      <c r="AI446">
        <f t="shared" si="385"/>
        <v>1.570607405081732</v>
      </c>
      <c r="AJ446" t="str">
        <f t="shared" si="367"/>
        <v>1+18,1022125332101i</v>
      </c>
      <c r="AK446">
        <f t="shared" si="386"/>
        <v>18.129812425877681</v>
      </c>
      <c r="AL446">
        <f t="shared" si="387"/>
        <v>1.5156105512775446</v>
      </c>
      <c r="AM446" t="str">
        <f t="shared" si="368"/>
        <v>1-1,50517814957878i</v>
      </c>
      <c r="AN446">
        <f t="shared" si="388"/>
        <v>1.8070864013570023</v>
      </c>
      <c r="AO446">
        <f t="shared" si="389"/>
        <v>-0.98438319998443036</v>
      </c>
      <c r="AP446" s="41" t="str">
        <f t="shared" si="390"/>
        <v>0,537183145065256-0,913854863282618i</v>
      </c>
      <c r="AQ446">
        <f t="shared" si="391"/>
        <v>0.50649005932440427</v>
      </c>
      <c r="AR446" s="43">
        <f t="shared" si="392"/>
        <v>-59.552090392168303</v>
      </c>
      <c r="AS446" t="str">
        <f t="shared" si="369"/>
        <v>-0,0000166666666666667</v>
      </c>
      <c r="AT446" t="str">
        <f t="shared" si="370"/>
        <v>0,00183536321517268i</v>
      </c>
      <c r="AU446">
        <f t="shared" si="393"/>
        <v>1.83536321517268E-3</v>
      </c>
      <c r="AV446">
        <f t="shared" si="394"/>
        <v>1.5707963267948966</v>
      </c>
      <c r="AW446" t="str">
        <f t="shared" si="371"/>
        <v>1+8,50482914188806i</v>
      </c>
      <c r="AX446">
        <f t="shared" si="395"/>
        <v>8.5634174680852961</v>
      </c>
      <c r="AY446">
        <f t="shared" si="396"/>
        <v>1.453753472156369</v>
      </c>
      <c r="AZ446" t="str">
        <f t="shared" si="372"/>
        <v>1+395,087971954982i</v>
      </c>
      <c r="BA446">
        <f t="shared" si="397"/>
        <v>395.08923749388651</v>
      </c>
      <c r="BB446">
        <f t="shared" si="398"/>
        <v>1.568265250337161</v>
      </c>
      <c r="BC446" s="41" t="str">
        <f t="shared" si="399"/>
        <v>-0,0478713203366508+0,416218254953246i</v>
      </c>
      <c r="BD446">
        <f t="shared" si="400"/>
        <v>-7.5565038141390044</v>
      </c>
      <c r="BE446" s="43">
        <f t="shared" si="401"/>
        <v>96.561041594297635</v>
      </c>
      <c r="BF446" s="41" t="str">
        <f t="shared" si="402"/>
        <v>0,325106314335683-0,132541517823684i</v>
      </c>
      <c r="BG446" s="20">
        <f t="shared" si="403"/>
        <v>-9.0917301109428088</v>
      </c>
      <c r="BH446" s="43">
        <f t="shared" si="404"/>
        <v>-22.180068401354148</v>
      </c>
      <c r="BI446" s="41" t="str">
        <f t="shared" si="409"/>
        <v>0,35464741005916+0,267332870130766i</v>
      </c>
      <c r="BJ446" s="20">
        <f t="shared" si="405"/>
        <v>-7.0500137548145956</v>
      </c>
      <c r="BK446" s="43">
        <f t="shared" si="410"/>
        <v>37.008951202129381</v>
      </c>
      <c r="BL446">
        <f t="shared" si="406"/>
        <v>-9.0917301109428088</v>
      </c>
      <c r="BM446" s="43">
        <f t="shared" si="407"/>
        <v>-22.180068401354148</v>
      </c>
    </row>
    <row r="447" spans="14:65" x14ac:dyDescent="0.25">
      <c r="N447" s="9">
        <v>29</v>
      </c>
      <c r="O447" s="34">
        <f t="shared" si="408"/>
        <v>194984.45997580473</v>
      </c>
      <c r="P447" s="33" t="str">
        <f t="shared" si="360"/>
        <v>54,631621870174</v>
      </c>
      <c r="Q447" s="4" t="str">
        <f t="shared" si="361"/>
        <v>1+5468,82895853067i</v>
      </c>
      <c r="R447" s="4">
        <f t="shared" si="373"/>
        <v>5468.8290499579207</v>
      </c>
      <c r="S447" s="4">
        <f t="shared" si="374"/>
        <v>1.5706134722941547</v>
      </c>
      <c r="T447" s="4" t="str">
        <f t="shared" si="362"/>
        <v>1+18,5238672300106i</v>
      </c>
      <c r="U447" s="4">
        <f t="shared" si="375"/>
        <v>18.550839796490632</v>
      </c>
      <c r="V447" s="4">
        <f t="shared" si="376"/>
        <v>1.5168642701698902</v>
      </c>
      <c r="W447" t="str">
        <f t="shared" si="363"/>
        <v>1-4,87518150730798i</v>
      </c>
      <c r="X447" s="4">
        <f t="shared" si="377"/>
        <v>4.9766851145313291</v>
      </c>
      <c r="Y447" s="4">
        <f t="shared" si="378"/>
        <v>-1.3684820271564553</v>
      </c>
      <c r="Z447" t="str">
        <f t="shared" si="364"/>
        <v>0,847924241471776+0,669810508428287i</v>
      </c>
      <c r="AA447" s="4">
        <f t="shared" si="379"/>
        <v>1.0805654244313239</v>
      </c>
      <c r="AB447" s="4">
        <f t="shared" si="380"/>
        <v>0.66857751880132865</v>
      </c>
      <c r="AC447" s="47" t="str">
        <f t="shared" si="381"/>
        <v>-0,424095315009662-0,74067651090341i</v>
      </c>
      <c r="AD447" s="20">
        <f t="shared" si="382"/>
        <v>-1.3759516688278071</v>
      </c>
      <c r="AE447" s="43">
        <f t="shared" si="383"/>
        <v>-119.79451703413275</v>
      </c>
      <c r="AF447" t="str">
        <f t="shared" si="365"/>
        <v>171,265703090588</v>
      </c>
      <c r="AG447" t="str">
        <f t="shared" si="366"/>
        <v>1+5416,49217004071i</v>
      </c>
      <c r="AH447">
        <f t="shared" si="384"/>
        <v>5416.4922623513758</v>
      </c>
      <c r="AI447">
        <f t="shared" si="385"/>
        <v>1.5706117054648465</v>
      </c>
      <c r="AJ447" t="str">
        <f t="shared" si="367"/>
        <v>1+18,5238672300106i</v>
      </c>
      <c r="AK447">
        <f t="shared" si="386"/>
        <v>18.550839796490632</v>
      </c>
      <c r="AL447">
        <f t="shared" si="387"/>
        <v>1.5168642701698902</v>
      </c>
      <c r="AM447" t="str">
        <f t="shared" si="368"/>
        <v>1-1,54023825259807i</v>
      </c>
      <c r="AN447">
        <f t="shared" si="388"/>
        <v>1.8363915363468533</v>
      </c>
      <c r="AO447">
        <f t="shared" si="389"/>
        <v>-0.99494838403768815</v>
      </c>
      <c r="AP447" s="41" t="str">
        <f t="shared" si="390"/>
        <v>0,53718287081068-0,933655779799523i</v>
      </c>
      <c r="AQ447">
        <f t="shared" si="391"/>
        <v>0.64562264232944555</v>
      </c>
      <c r="AR447" s="43">
        <f t="shared" si="392"/>
        <v>-60.085844440774466</v>
      </c>
      <c r="AS447" t="str">
        <f t="shared" si="369"/>
        <v>-0,0000166666666666667</v>
      </c>
      <c r="AT447" t="str">
        <f t="shared" si="370"/>
        <v>0,00187811431637608i</v>
      </c>
      <c r="AU447">
        <f t="shared" si="393"/>
        <v>1.87811431637608E-3</v>
      </c>
      <c r="AV447">
        <f t="shared" si="394"/>
        <v>1.5707963267948966</v>
      </c>
      <c r="AW447" t="str">
        <f t="shared" si="371"/>
        <v>1+8,70293206143914i</v>
      </c>
      <c r="AX447">
        <f t="shared" si="395"/>
        <v>8.7601955723616882</v>
      </c>
      <c r="AY447">
        <f t="shared" si="396"/>
        <v>1.4563942414555673</v>
      </c>
      <c r="AZ447" t="str">
        <f t="shared" si="372"/>
        <v>1+404,290753035946i</v>
      </c>
      <c r="BA447">
        <f t="shared" si="397"/>
        <v>404.29198976775723</v>
      </c>
      <c r="BB447">
        <f t="shared" si="398"/>
        <v>1.5683228644335856</v>
      </c>
      <c r="BC447" s="41" t="str">
        <f t="shared" si="399"/>
        <v>-0,0457448317865929+0,406988312405199i</v>
      </c>
      <c r="BD447">
        <f t="shared" si="400"/>
        <v>-7.7538387759688554</v>
      </c>
      <c r="BE447" s="43">
        <f t="shared" si="401"/>
        <v>96.413037703351463</v>
      </c>
      <c r="BF447" s="41" t="str">
        <f t="shared" si="402"/>
        <v>0,320846852057349-0,138719714155177i</v>
      </c>
      <c r="BG447" s="20">
        <f t="shared" si="403"/>
        <v>-9.129790444796658</v>
      </c>
      <c r="BH447" s="43">
        <f t="shared" si="404"/>
        <v>-23.38147933078135</v>
      </c>
      <c r="BI447" s="41" t="str">
        <f t="shared" si="409"/>
        <v>0,355413650124094+0,261337076637728i</v>
      </c>
      <c r="BJ447" s="20">
        <f t="shared" si="405"/>
        <v>-7.1082161336394147</v>
      </c>
      <c r="BK447" s="43">
        <f t="shared" si="410"/>
        <v>36.327193262577026</v>
      </c>
      <c r="BL447">
        <f t="shared" si="406"/>
        <v>-9.129790444796658</v>
      </c>
      <c r="BM447" s="43">
        <f t="shared" si="407"/>
        <v>-23.38147933078135</v>
      </c>
    </row>
    <row r="448" spans="14:65" x14ac:dyDescent="0.25">
      <c r="N448" s="9">
        <v>30</v>
      </c>
      <c r="O448" s="34">
        <f t="shared" si="408"/>
        <v>199526.23149688813</v>
      </c>
      <c r="P448" s="33" t="str">
        <f t="shared" si="360"/>
        <v>54,631621870174</v>
      </c>
      <c r="Q448" s="4" t="str">
        <f t="shared" si="361"/>
        <v>1+5596,21434924649i</v>
      </c>
      <c r="R448" s="4">
        <f t="shared" si="373"/>
        <v>5596.2144385926022</v>
      </c>
      <c r="S448" s="4">
        <f t="shared" si="374"/>
        <v>1.5706176345706628</v>
      </c>
      <c r="T448" s="4" t="str">
        <f t="shared" si="362"/>
        <v>1+18,955343526409i</v>
      </c>
      <c r="U448" s="4">
        <f t="shared" si="375"/>
        <v>18.981702984826612</v>
      </c>
      <c r="V448" s="4">
        <f t="shared" si="376"/>
        <v>1.5180896149429213</v>
      </c>
      <c r="W448" t="str">
        <f t="shared" si="363"/>
        <v>1-4,98873907252498i</v>
      </c>
      <c r="X448" s="4">
        <f t="shared" si="377"/>
        <v>5.0879777450120001</v>
      </c>
      <c r="Y448" s="4">
        <f t="shared" si="378"/>
        <v>-1.3729667144089206</v>
      </c>
      <c r="Z448" t="str">
        <f t="shared" si="364"/>
        <v>0,840757131778601+0,685412399430676i</v>
      </c>
      <c r="AA448" s="4">
        <f t="shared" si="379"/>
        <v>1.0847408501249949</v>
      </c>
      <c r="AB448" s="4">
        <f t="shared" si="380"/>
        <v>0.6839601852947006</v>
      </c>
      <c r="AC448" s="47" t="str">
        <f t="shared" si="381"/>
        <v>-0,445870549229247-0,746092388450704i</v>
      </c>
      <c r="AD448" s="20">
        <f t="shared" si="382"/>
        <v>-1.2179174569755753</v>
      </c>
      <c r="AE448" s="43">
        <f t="shared" si="383"/>
        <v>-120.86286395079661</v>
      </c>
      <c r="AF448" t="str">
        <f t="shared" si="365"/>
        <v>171,265703090588</v>
      </c>
      <c r="AG448" t="str">
        <f t="shared" si="366"/>
        <v>1+5542,65848034624i</v>
      </c>
      <c r="AH448">
        <f t="shared" si="384"/>
        <v>5542.6585705556581</v>
      </c>
      <c r="AI448">
        <f t="shared" si="385"/>
        <v>1.5706159079592972</v>
      </c>
      <c r="AJ448" t="str">
        <f t="shared" si="367"/>
        <v>1+18,955343526409i</v>
      </c>
      <c r="AK448">
        <f t="shared" si="386"/>
        <v>18.981702984826612</v>
      </c>
      <c r="AL448">
        <f t="shared" si="387"/>
        <v>1.5180896149429213</v>
      </c>
      <c r="AM448" t="str">
        <f t="shared" si="368"/>
        <v>1-1,57611501032636i</v>
      </c>
      <c r="AN448">
        <f t="shared" si="388"/>
        <v>1.8665847223675816</v>
      </c>
      <c r="AO448">
        <f t="shared" si="389"/>
        <v>-1.0054150443110608</v>
      </c>
      <c r="AP448" s="41" t="str">
        <f t="shared" si="390"/>
        <v>0,537182608899594-0,953951732964719i</v>
      </c>
      <c r="AQ448">
        <f t="shared" si="391"/>
        <v>0.78670310896410323</v>
      </c>
      <c r="AR448" s="43">
        <f t="shared" si="392"/>
        <v>-60.615573601288261</v>
      </c>
      <c r="AS448" t="str">
        <f t="shared" si="369"/>
        <v>-0,0000166666666666667</v>
      </c>
      <c r="AT448" t="str">
        <f t="shared" si="370"/>
        <v>0,0019218612186498i</v>
      </c>
      <c r="AU448">
        <f t="shared" si="393"/>
        <v>1.9218612186498001E-3</v>
      </c>
      <c r="AV448">
        <f t="shared" si="394"/>
        <v>1.5707963267948966</v>
      </c>
      <c r="AW448" t="str">
        <f t="shared" si="371"/>
        <v>1+8,90564939076618i</v>
      </c>
      <c r="AX448">
        <f t="shared" si="395"/>
        <v>8.9616176592875245</v>
      </c>
      <c r="AY448">
        <f t="shared" si="396"/>
        <v>1.4589764489994705</v>
      </c>
      <c r="AZ448" t="str">
        <f t="shared" si="372"/>
        <v>1+413,707894425593i</v>
      </c>
      <c r="BA448">
        <f t="shared" si="397"/>
        <v>413.70910300603447</v>
      </c>
      <c r="BB448">
        <f t="shared" si="398"/>
        <v>1.5683791670889307</v>
      </c>
      <c r="BC448" s="41" t="str">
        <f t="shared" si="399"/>
        <v>-0,0437116113826653+0,397952434186413i</v>
      </c>
      <c r="BD448">
        <f t="shared" si="400"/>
        <v>-7.9512921552860742</v>
      </c>
      <c r="BE448" s="43">
        <f t="shared" si="401"/>
        <v>96.268314013785627</v>
      </c>
      <c r="BF448" s="41" t="str">
        <f t="shared" si="402"/>
        <v>0,316399002286797-0,14482236985829i</v>
      </c>
      <c r="BG448" s="20">
        <f t="shared" si="403"/>
        <v>-9.169209612261648</v>
      </c>
      <c r="BH448" s="43">
        <f t="shared" si="404"/>
        <v>-24.594549937010974</v>
      </c>
      <c r="BI448" s="41" t="str">
        <f t="shared" si="409"/>
        <v>0,356146296787912+0,255471894243375i</v>
      </c>
      <c r="BJ448" s="20">
        <f t="shared" si="405"/>
        <v>-7.1645890463219644</v>
      </c>
      <c r="BK448" s="43">
        <f t="shared" si="410"/>
        <v>35.652740412497316</v>
      </c>
      <c r="BL448">
        <f t="shared" si="406"/>
        <v>-9.169209612261648</v>
      </c>
      <c r="BM448" s="43">
        <f t="shared" si="407"/>
        <v>-24.594549937010974</v>
      </c>
    </row>
    <row r="449" spans="14:65" x14ac:dyDescent="0.25">
      <c r="N449" s="9">
        <v>31</v>
      </c>
      <c r="O449" s="34">
        <f t="shared" si="408"/>
        <v>204173.79446695308</v>
      </c>
      <c r="P449" s="33" t="str">
        <f t="shared" si="360"/>
        <v>54,631621870174</v>
      </c>
      <c r="Q449" s="4" t="str">
        <f t="shared" si="361"/>
        <v>1+5726,56692688492i</v>
      </c>
      <c r="R449" s="4">
        <f t="shared" si="373"/>
        <v>5726.567014197266</v>
      </c>
      <c r="S449" s="4">
        <f t="shared" si="374"/>
        <v>1.5706217021021962</v>
      </c>
      <c r="T449" s="4" t="str">
        <f t="shared" si="362"/>
        <v>1+19,3968701968486i</v>
      </c>
      <c r="U449" s="4">
        <f t="shared" si="375"/>
        <v>19.422630445781369</v>
      </c>
      <c r="V449" s="4">
        <f t="shared" si="376"/>
        <v>1.5192872205637644</v>
      </c>
      <c r="W449" t="str">
        <f t="shared" si="363"/>
        <v>1-5,10494173323199i</v>
      </c>
      <c r="X449" s="4">
        <f t="shared" si="377"/>
        <v>5.2019640617456826</v>
      </c>
      <c r="Y449" s="4">
        <f t="shared" si="378"/>
        <v>-1.3773571227719514</v>
      </c>
      <c r="Z449" t="str">
        <f t="shared" si="364"/>
        <v>0,833252246611867+0,701377705159746i</v>
      </c>
      <c r="AA449" s="4">
        <f t="shared" si="379"/>
        <v>1.0891464510243216</v>
      </c>
      <c r="AB449" s="4">
        <f t="shared" si="380"/>
        <v>0.69967628129644233</v>
      </c>
      <c r="AC449" s="47" t="str">
        <f t="shared" si="381"/>
        <v>-0,468272749540211-0,750952544457528i</v>
      </c>
      <c r="AD449" s="20">
        <f t="shared" si="382"/>
        <v>-1.0612227960914051</v>
      </c>
      <c r="AE449" s="43">
        <f t="shared" si="383"/>
        <v>-121.94649709645395</v>
      </c>
      <c r="AF449" t="str">
        <f t="shared" si="365"/>
        <v>171,265703090588</v>
      </c>
      <c r="AG449" t="str">
        <f t="shared" si="366"/>
        <v>1+5671,76358154379i</v>
      </c>
      <c r="AH449">
        <f t="shared" si="384"/>
        <v>5671.7636696997906</v>
      </c>
      <c r="AI449">
        <f t="shared" si="385"/>
        <v>1.5706200147933012</v>
      </c>
      <c r="AJ449" t="str">
        <f t="shared" si="367"/>
        <v>1+19,3968701968486i</v>
      </c>
      <c r="AK449">
        <f t="shared" si="386"/>
        <v>19.422630445781369</v>
      </c>
      <c r="AL449">
        <f t="shared" si="387"/>
        <v>1.5192872205637644</v>
      </c>
      <c r="AM449" t="str">
        <f t="shared" si="368"/>
        <v>1-1,61282744509546i</v>
      </c>
      <c r="AN449">
        <f t="shared" si="388"/>
        <v>1.8976860561360378</v>
      </c>
      <c r="AO449">
        <f t="shared" si="389"/>
        <v>-1.0157795570596342</v>
      </c>
      <c r="AP449" s="41" t="str">
        <f t="shared" si="390"/>
        <v>0,537182358776447-0,974753483961512i</v>
      </c>
      <c r="AQ449">
        <f t="shared" si="391"/>
        <v>0.92969377550146759</v>
      </c>
      <c r="AR449" s="43">
        <f t="shared" si="392"/>
        <v>-61.141033995151162</v>
      </c>
      <c r="AS449" t="str">
        <f t="shared" si="369"/>
        <v>-0,0000166666666666667</v>
      </c>
      <c r="AT449" t="str">
        <f t="shared" si="370"/>
        <v>0,00196662711718049i</v>
      </c>
      <c r="AU449">
        <f t="shared" si="393"/>
        <v>1.96662711718049E-3</v>
      </c>
      <c r="AV449">
        <f t="shared" si="394"/>
        <v>1.5707963267948966</v>
      </c>
      <c r="AW449" t="str">
        <f t="shared" si="371"/>
        <v>1+9,11308861328037i</v>
      </c>
      <c r="AX449">
        <f t="shared" si="395"/>
        <v>9.1677905775328625</v>
      </c>
      <c r="AY449">
        <f t="shared" si="396"/>
        <v>1.4615013260930991</v>
      </c>
      <c r="AZ449" t="str">
        <f t="shared" si="372"/>
        <v>1+423,344389216934i</v>
      </c>
      <c r="BA449">
        <f t="shared" si="397"/>
        <v>423.34557028680359</v>
      </c>
      <c r="BB449">
        <f t="shared" si="398"/>
        <v>1.5684341881541806</v>
      </c>
      <c r="BC449" s="41" t="str">
        <f t="shared" si="399"/>
        <v>-0,0417676721035928+0,389107243748042i</v>
      </c>
      <c r="BD449">
        <f t="shared" si="400"/>
        <v>-8.1488587553220189</v>
      </c>
      <c r="BE449" s="43">
        <f t="shared" si="401"/>
        <v>96.126801687354586</v>
      </c>
      <c r="BF449" s="41" t="str">
        <f t="shared" si="402"/>
        <v>0,311759737417291-0,150842779253648i</v>
      </c>
      <c r="BG449" s="20">
        <f t="shared" si="403"/>
        <v>-9.210081551413424</v>
      </c>
      <c r="BH449" s="43">
        <f t="shared" si="404"/>
        <v>-25.819695409099356</v>
      </c>
      <c r="BI449" s="41" t="str">
        <f t="shared" si="409"/>
        <v>0,356846784856856+0,249734730913514i</v>
      </c>
      <c r="BJ449" s="20">
        <f t="shared" si="405"/>
        <v>-7.2191649798205537</v>
      </c>
      <c r="BK449" s="43">
        <f t="shared" si="410"/>
        <v>34.98576769220341</v>
      </c>
      <c r="BL449">
        <f t="shared" si="406"/>
        <v>-9.210081551413424</v>
      </c>
      <c r="BM449" s="43">
        <f t="shared" si="407"/>
        <v>-25.819695409099356</v>
      </c>
    </row>
    <row r="450" spans="14:65" x14ac:dyDescent="0.25">
      <c r="N450" s="9">
        <v>32</v>
      </c>
      <c r="O450" s="34">
        <f t="shared" si="408"/>
        <v>208929.61308540447</v>
      </c>
      <c r="P450" s="33" t="str">
        <f t="shared" si="360"/>
        <v>54,631621870174</v>
      </c>
      <c r="Q450" s="4" t="str">
        <f t="shared" si="361"/>
        <v>1+5859,95580610811i</v>
      </c>
      <c r="R450" s="4">
        <f t="shared" si="373"/>
        <v>5859.9558914329846</v>
      </c>
      <c r="S450" s="4">
        <f t="shared" si="374"/>
        <v>1.5706256770454137</v>
      </c>
      <c r="T450" s="4" t="str">
        <f t="shared" si="362"/>
        <v>1+19,8486813446147i</v>
      </c>
      <c r="U450" s="4">
        <f t="shared" si="375"/>
        <v>19.873855970094372</v>
      </c>
      <c r="V450" s="4">
        <f t="shared" si="376"/>
        <v>1.5204577082695614</v>
      </c>
      <c r="W450" t="str">
        <f t="shared" si="363"/>
        <v>1-5,22385110161789i</v>
      </c>
      <c r="X450" s="4">
        <f t="shared" si="377"/>
        <v>5.3187047607358737</v>
      </c>
      <c r="Y450" s="4">
        <f t="shared" si="378"/>
        <v>-1.38165490274948</v>
      </c>
      <c r="Z450" t="str">
        <f t="shared" si="364"/>
        <v>0,825393667103932+0,717714890631929i</v>
      </c>
      <c r="AA450" s="4">
        <f t="shared" si="379"/>
        <v>1.0937958538640007</v>
      </c>
      <c r="AB450" s="4">
        <f t="shared" si="380"/>
        <v>0.71573066588841749</v>
      </c>
      <c r="AC450" s="47" t="str">
        <f t="shared" si="381"/>
        <v>-0,491296683908745-0,755209562438624i</v>
      </c>
      <c r="AD450" s="20">
        <f t="shared" si="382"/>
        <v>-0.90597009069140122</v>
      </c>
      <c r="AE450" s="43">
        <f t="shared" si="383"/>
        <v>-123.04575397219823</v>
      </c>
      <c r="AF450" t="str">
        <f t="shared" si="365"/>
        <v>171,265703090588</v>
      </c>
      <c r="AG450" t="str">
        <f t="shared" si="366"/>
        <v>1+5803,87592686698i</v>
      </c>
      <c r="AH450">
        <f t="shared" si="384"/>
        <v>5803.8760130163055</v>
      </c>
      <c r="AI450">
        <f t="shared" si="385"/>
        <v>1.570624028144356</v>
      </c>
      <c r="AJ450" t="str">
        <f t="shared" si="367"/>
        <v>1+19,8486813446147i</v>
      </c>
      <c r="AK450">
        <f t="shared" si="386"/>
        <v>19.873855970094372</v>
      </c>
      <c r="AL450">
        <f t="shared" si="387"/>
        <v>1.5204577082695614</v>
      </c>
      <c r="AM450" t="str">
        <f t="shared" si="368"/>
        <v>1-1,65039502232427i</v>
      </c>
      <c r="AN450">
        <f t="shared" si="388"/>
        <v>1.9297159712539893</v>
      </c>
      <c r="AO450">
        <f t="shared" si="389"/>
        <v>-1.0260385102470249</v>
      </c>
      <c r="AP450" s="41" t="str">
        <f t="shared" si="390"/>
        <v>0,537182119910695-0,996072062153936i</v>
      </c>
      <c r="AQ450">
        <f t="shared" si="391"/>
        <v>1.0745561005839892</v>
      </c>
      <c r="AR450" s="43">
        <f t="shared" si="392"/>
        <v>-61.661994657573999</v>
      </c>
      <c r="AS450" t="str">
        <f t="shared" si="369"/>
        <v>-0,0000166666666666667</v>
      </c>
      <c r="AT450" t="str">
        <f t="shared" si="370"/>
        <v>0,0020124357474401i</v>
      </c>
      <c r="AU450">
        <f t="shared" si="393"/>
        <v>2.0124357474401002E-3</v>
      </c>
      <c r="AV450">
        <f t="shared" si="394"/>
        <v>1.5707963267948966</v>
      </c>
      <c r="AW450" t="str">
        <f t="shared" si="371"/>
        <v>1+9,32535971600339i</v>
      </c>
      <c r="AX450">
        <f t="shared" si="395"/>
        <v>9.3788236913196545</v>
      </c>
      <c r="AY450">
        <f t="shared" si="396"/>
        <v>1.4639700826210216</v>
      </c>
      <c r="AZ450" t="str">
        <f t="shared" si="372"/>
        <v>1+433,205346807067i</v>
      </c>
      <c r="BA450">
        <f t="shared" si="397"/>
        <v>433.20650099257648</v>
      </c>
      <c r="BB450">
        <f t="shared" si="398"/>
        <v>1.5684879568008991</v>
      </c>
      <c r="BC450" s="41" t="str">
        <f t="shared" si="399"/>
        <v>-0,0399091883292826+0,380449375055317i</v>
      </c>
      <c r="BD450">
        <f t="shared" si="400"/>
        <v>-8.3465336017165921</v>
      </c>
      <c r="BE450" s="43">
        <f t="shared" si="401"/>
        <v>95.988433074186347</v>
      </c>
      <c r="BF450" s="41" t="str">
        <f t="shared" si="402"/>
        <v>0,30692625794924-0,156773715704393i</v>
      </c>
      <c r="BG450" s="20">
        <f t="shared" si="403"/>
        <v>-9.2525036924079984</v>
      </c>
      <c r="BH450" s="43">
        <f t="shared" si="404"/>
        <v>-27.057320898011795</v>
      </c>
      <c r="BI450" s="41" t="str">
        <f t="shared" si="409"/>
        <v>0,357516491165887+0,244123029328953i</v>
      </c>
      <c r="BJ450" s="20">
        <f t="shared" si="405"/>
        <v>-7.2719775011325911</v>
      </c>
      <c r="BK450" s="43">
        <f t="shared" si="410"/>
        <v>34.326438416612369</v>
      </c>
      <c r="BL450">
        <f t="shared" si="406"/>
        <v>-9.2525036924079984</v>
      </c>
      <c r="BM450" s="43">
        <f t="shared" si="407"/>
        <v>-27.057320898011795</v>
      </c>
    </row>
    <row r="451" spans="14:65" x14ac:dyDescent="0.25">
      <c r="N451" s="9">
        <v>33</v>
      </c>
      <c r="O451" s="34">
        <f t="shared" si="408"/>
        <v>213796.20895022334</v>
      </c>
      <c r="P451" s="33" t="str">
        <f t="shared" si="360"/>
        <v>54,631621870174</v>
      </c>
      <c r="Q451" s="4" t="str">
        <f t="shared" si="361"/>
        <v>1+5996,45171146533i</v>
      </c>
      <c r="R451" s="4">
        <f t="shared" si="373"/>
        <v>5996.4517948479734</v>
      </c>
      <c r="S451" s="4">
        <f t="shared" si="374"/>
        <v>1.5706295615078822</v>
      </c>
      <c r="T451" s="4" t="str">
        <f t="shared" si="362"/>
        <v>1+20,3110165259579i</v>
      </c>
      <c r="U451" s="4">
        <f t="shared" si="375"/>
        <v>20.335618808330739</v>
      </c>
      <c r="V451" s="4">
        <f t="shared" si="376"/>
        <v>1.5216016858321704</v>
      </c>
      <c r="W451" t="str">
        <f t="shared" si="363"/>
        <v>1-5,34553022500367i</v>
      </c>
      <c r="X451" s="4">
        <f t="shared" si="377"/>
        <v>5.4382619821435405</v>
      </c>
      <c r="Y451" s="4">
        <f t="shared" si="378"/>
        <v>-1.3858616977038349</v>
      </c>
      <c r="Z451" t="str">
        <f t="shared" si="364"/>
        <v>0,817164724154049+0,734432618039199i</v>
      </c>
      <c r="AA451" s="4">
        <f t="shared" si="379"/>
        <v>1.0987035345541012</v>
      </c>
      <c r="AB451" s="4">
        <f t="shared" si="380"/>
        <v>0.73212800593290628</v>
      </c>
      <c r="AC451" s="47" t="str">
        <f t="shared" si="381"/>
        <v>-0,51493421771008-0,758814314344277i</v>
      </c>
      <c r="AD451" s="20">
        <f t="shared" si="382"/>
        <v>-0.75226513621627467</v>
      </c>
      <c r="AE451" s="43">
        <f t="shared" si="383"/>
        <v>-124.16096142525964</v>
      </c>
      <c r="AF451" t="str">
        <f t="shared" si="365"/>
        <v>171,265703090588</v>
      </c>
      <c r="AG451" t="str">
        <f t="shared" si="366"/>
        <v>1+5939,06556402993i</v>
      </c>
      <c r="AH451">
        <f t="shared" si="384"/>
        <v>5939.0656482182576</v>
      </c>
      <c r="AI451">
        <f t="shared" si="385"/>
        <v>1.5706279501403928</v>
      </c>
      <c r="AJ451" t="str">
        <f t="shared" si="367"/>
        <v>1+20,3110165259579i</v>
      </c>
      <c r="AK451">
        <f t="shared" si="386"/>
        <v>20.335618808330739</v>
      </c>
      <c r="AL451">
        <f t="shared" si="387"/>
        <v>1.5216016858321704</v>
      </c>
      <c r="AM451" t="str">
        <f t="shared" si="368"/>
        <v>1-1,68883766083946i</v>
      </c>
      <c r="AN451">
        <f t="shared" si="388"/>
        <v>1.962695250075696</v>
      </c>
      <c r="AO451">
        <f t="shared" si="389"/>
        <v>-1.036188705170344</v>
      </c>
      <c r="AP451" s="41" t="str">
        <f t="shared" si="390"/>
        <v>0,537181891795673-1,01791877093457i</v>
      </c>
      <c r="AQ451">
        <f t="shared" si="391"/>
        <v>1.2212507963313126</v>
      </c>
      <c r="AR451" s="43">
        <f t="shared" si="392"/>
        <v>-62.178237615540304</v>
      </c>
      <c r="AS451" t="str">
        <f t="shared" si="369"/>
        <v>-0,0000166666666666667</v>
      </c>
      <c r="AT451" t="str">
        <f t="shared" si="370"/>
        <v>0,00205931139777073i</v>
      </c>
      <c r="AU451">
        <f t="shared" si="393"/>
        <v>2.0593113977707298E-3</v>
      </c>
      <c r="AV451">
        <f t="shared" si="394"/>
        <v>1.5707963267948966</v>
      </c>
      <c r="AW451" t="str">
        <f t="shared" si="371"/>
        <v>1+9,54257524788349i</v>
      </c>
      <c r="AX451">
        <f t="shared" si="395"/>
        <v>9.5948289386272361</v>
      </c>
      <c r="AY451">
        <f t="shared" si="396"/>
        <v>1.4663839071133378</v>
      </c>
      <c r="AZ451" t="str">
        <f t="shared" si="372"/>
        <v>1+443,295995606224i</v>
      </c>
      <c r="BA451">
        <f t="shared" si="397"/>
        <v>443.29712351933142</v>
      </c>
      <c r="BB451">
        <f t="shared" si="398"/>
        <v>1.5685405015366902</v>
      </c>
      <c r="BC451" s="41" t="str">
        <f t="shared" si="399"/>
        <v>-0,0381324901012984+0,371975476445396i</v>
      </c>
      <c r="BD451">
        <f t="shared" si="400"/>
        <v>-8.5443119334923168</v>
      </c>
      <c r="BE451" s="43">
        <f t="shared" si="401"/>
        <v>95.85314170988778</v>
      </c>
      <c r="BF451" s="41" t="str">
        <f t="shared" si="402"/>
        <v>0,301896040071448-0,162607421640288i</v>
      </c>
      <c r="BG451" s="20">
        <f t="shared" si="403"/>
        <v>-9.2965770697085954</v>
      </c>
      <c r="BH451" s="43">
        <f t="shared" si="404"/>
        <v>-28.307819715371966</v>
      </c>
      <c r="BI451" s="41" t="str">
        <f t="shared" si="409"/>
        <v>0,358156736629603+0,238634267595123i</v>
      </c>
      <c r="BJ451" s="20">
        <f t="shared" si="405"/>
        <v>-7.3230611371610088</v>
      </c>
      <c r="BK451" s="43">
        <f t="shared" si="410"/>
        <v>33.674904094347511</v>
      </c>
      <c r="BL451">
        <f t="shared" si="406"/>
        <v>-9.2965770697085954</v>
      </c>
      <c r="BM451" s="43">
        <f t="shared" si="407"/>
        <v>-28.307819715371966</v>
      </c>
    </row>
    <row r="452" spans="14:65" x14ac:dyDescent="0.25">
      <c r="N452" s="9">
        <v>34</v>
      </c>
      <c r="O452" s="34">
        <f t="shared" si="408"/>
        <v>218776.16239495538</v>
      </c>
      <c r="P452" s="33" t="str">
        <f t="shared" si="360"/>
        <v>54,631621870174</v>
      </c>
      <c r="Q452" s="4" t="str">
        <f t="shared" si="361"/>
        <v>1+6136,12701489241i</v>
      </c>
      <c r="R452" s="4">
        <f t="shared" si="373"/>
        <v>6136.1270963770339</v>
      </c>
      <c r="S452" s="4">
        <f t="shared" si="374"/>
        <v>1.5706333575491949</v>
      </c>
      <c r="T452" s="4" t="str">
        <f t="shared" si="362"/>
        <v>1+20,7841208771113i</v>
      </c>
      <c r="U452" s="4">
        <f t="shared" si="375"/>
        <v>20.808163797759132</v>
      </c>
      <c r="V452" s="4">
        <f t="shared" si="376"/>
        <v>1.5227197478199885</v>
      </c>
      <c r="W452" t="str">
        <f t="shared" si="363"/>
        <v>1-5,47004361927122i</v>
      </c>
      <c r="X452" s="4">
        <f t="shared" si="377"/>
        <v>5.5606993442129005</v>
      </c>
      <c r="Y452" s="4">
        <f t="shared" si="378"/>
        <v>-1.3899791422585981</v>
      </c>
      <c r="Z452" t="str">
        <f t="shared" si="364"/>
        <v>0,808547963070944+0,75153975134192i</v>
      </c>
      <c r="AA452" s="4">
        <f t="shared" si="379"/>
        <v>1.1038848700988919</v>
      </c>
      <c r="AB452" s="4">
        <f t="shared" si="380"/>
        <v>0.74887274416813654</v>
      </c>
      <c r="AC452" s="47" t="str">
        <f t="shared" si="381"/>
        <v>-0,539174041142416-0,761716075550832i</v>
      </c>
      <c r="AD452" s="20">
        <f t="shared" si="382"/>
        <v>-0.60021722937484945</v>
      </c>
      <c r="AE452" s="43">
        <f t="shared" si="383"/>
        <v>-125.2924337145669</v>
      </c>
      <c r="AF452" t="str">
        <f t="shared" si="365"/>
        <v>171,265703090588</v>
      </c>
      <c r="AG452" t="str">
        <f t="shared" si="366"/>
        <v>1+6077,40417236778i</v>
      </c>
      <c r="AH452">
        <f t="shared" si="384"/>
        <v>6077.4042546397468</v>
      </c>
      <c r="AI452">
        <f t="shared" si="385"/>
        <v>1.5706317828609055</v>
      </c>
      <c r="AJ452" t="str">
        <f t="shared" si="367"/>
        <v>1+20,7841208771113i</v>
      </c>
      <c r="AK452">
        <f t="shared" si="386"/>
        <v>20.808163797759132</v>
      </c>
      <c r="AL452">
        <f t="shared" si="387"/>
        <v>1.5227197478199885</v>
      </c>
      <c r="AM452" t="str">
        <f t="shared" si="368"/>
        <v>1-1,72817574343684i</v>
      </c>
      <c r="AN452">
        <f t="shared" si="388"/>
        <v>1.9966450361051846</v>
      </c>
      <c r="AO452">
        <f t="shared" si="389"/>
        <v>-1.0462271571931236</v>
      </c>
      <c r="AP452" s="41" t="str">
        <f t="shared" si="390"/>
        <v>0,537181673947517-1,04030519371784i</v>
      </c>
      <c r="AQ452">
        <f t="shared" si="391"/>
        <v>1.3697379379866668</v>
      </c>
      <c r="AR452" s="43">
        <f t="shared" si="392"/>
        <v>-62.689557914863464</v>
      </c>
      <c r="AS452" t="str">
        <f t="shared" si="369"/>
        <v>-0,0000166666666666667</v>
      </c>
      <c r="AT452" t="str">
        <f t="shared" si="370"/>
        <v>0,00210727892226268i</v>
      </c>
      <c r="AU452">
        <f t="shared" si="393"/>
        <v>2.10727892226268E-3</v>
      </c>
      <c r="AV452">
        <f t="shared" si="394"/>
        <v>1.5707963267948966</v>
      </c>
      <c r="AW452" t="str">
        <f t="shared" si="371"/>
        <v>1+9,76485037947097i</v>
      </c>
      <c r="AX452">
        <f t="shared" si="395"/>
        <v>9.8159208907495952</v>
      </c>
      <c r="AY452">
        <f t="shared" si="396"/>
        <v>1.4687439668362596</v>
      </c>
      <c r="AZ452" t="str">
        <f t="shared" si="372"/>
        <v>1+453,62168580997i</v>
      </c>
      <c r="BA452">
        <f t="shared" si="397"/>
        <v>453.62278804870363</v>
      </c>
      <c r="BB452">
        <f t="shared" si="398"/>
        <v>1.5685918502203073</v>
      </c>
      <c r="BC452" s="41" t="str">
        <f t="shared" si="399"/>
        <v>-0,0364340575154007+0,363682214158596i</v>
      </c>
      <c r="BD452">
        <f t="shared" si="400"/>
        <v>-8.7421891943512549</v>
      </c>
      <c r="BE452" s="43">
        <f t="shared" si="401"/>
        <v>95.72086231122033</v>
      </c>
      <c r="BF452" s="41" t="str">
        <f t="shared" si="402"/>
        <v>0,296666886942317-0,168335601792487i</v>
      </c>
      <c r="BG452" s="20">
        <f t="shared" si="403"/>
        <v>-9.3424064237261035</v>
      </c>
      <c r="BH452" s="43">
        <f t="shared" si="404"/>
        <v>-29.571571403346464</v>
      </c>
      <c r="BI452" s="41" t="str">
        <f t="shared" si="409"/>
        <v>0,358768788247168+0,23326595984814i</v>
      </c>
      <c r="BJ452" s="20">
        <f t="shared" si="405"/>
        <v>-7.3724512563645863</v>
      </c>
      <c r="BK452" s="43">
        <f t="shared" si="410"/>
        <v>33.031304396356894</v>
      </c>
      <c r="BL452">
        <f t="shared" si="406"/>
        <v>-9.3424064237261035</v>
      </c>
      <c r="BM452" s="43">
        <f t="shared" si="407"/>
        <v>-29.571571403346464</v>
      </c>
    </row>
    <row r="453" spans="14:65" x14ac:dyDescent="0.25">
      <c r="N453" s="9">
        <v>35</v>
      </c>
      <c r="O453" s="34">
        <f t="shared" si="408"/>
        <v>223872.11385683404</v>
      </c>
      <c r="P453" s="33" t="str">
        <f t="shared" si="360"/>
        <v>54,631621870174</v>
      </c>
      <c r="Q453" s="4" t="str">
        <f t="shared" si="361"/>
        <v>1+6279,05577408404i</v>
      </c>
      <c r="R453" s="4">
        <f t="shared" si="373"/>
        <v>6279.0558537138468</v>
      </c>
      <c r="S453" s="4">
        <f t="shared" si="374"/>
        <v>1.5706370671820624</v>
      </c>
      <c r="T453" s="4" t="str">
        <f t="shared" si="362"/>
        <v>1+21,2682452442642i</v>
      </c>
      <c r="U453" s="4">
        <f t="shared" si="375"/>
        <v>21.291741492188159</v>
      </c>
      <c r="V453" s="4">
        <f t="shared" si="376"/>
        <v>1.5238124758567477</v>
      </c>
      <c r="W453" t="str">
        <f t="shared" si="363"/>
        <v>1-5,59745730307031i</v>
      </c>
      <c r="X453" s="4">
        <f t="shared" si="377"/>
        <v>5.6860819779260261</v>
      </c>
      <c r="Y453" s="4">
        <f t="shared" si="378"/>
        <v>-1.3940088608281092</v>
      </c>
      <c r="Z453" t="str">
        <f t="shared" si="364"/>
        <v>0,799525106549089+0,769045360968609i</v>
      </c>
      <c r="AA453" s="4">
        <f t="shared" si="379"/>
        <v>1.1093561931271985</v>
      </c>
      <c r="AB453" s="4">
        <f t="shared" si="380"/>
        <v>0.76596906483287375</v>
      </c>
      <c r="AC453" s="47" t="str">
        <f t="shared" si="381"/>
        <v>-0,564001389169837-0,763862670201115i</v>
      </c>
      <c r="AD453" s="20">
        <f t="shared" si="382"/>
        <v>-0.44993926514118276</v>
      </c>
      <c r="AE453" s="43">
        <f t="shared" si="383"/>
        <v>-126.44047044216204</v>
      </c>
      <c r="AF453" t="str">
        <f t="shared" si="365"/>
        <v>171,265703090588</v>
      </c>
      <c r="AG453" t="str">
        <f t="shared" si="366"/>
        <v>1+6218,96510084178i</v>
      </c>
      <c r="AH453">
        <f t="shared" si="384"/>
        <v>6218.9651812410084</v>
      </c>
      <c r="AI453">
        <f t="shared" si="385"/>
        <v>1.5706355283380526</v>
      </c>
      <c r="AJ453" t="str">
        <f t="shared" si="367"/>
        <v>1+21,2682452442642i</v>
      </c>
      <c r="AK453">
        <f t="shared" si="386"/>
        <v>21.291741492188159</v>
      </c>
      <c r="AL453">
        <f t="shared" si="387"/>
        <v>1.5238124758567477</v>
      </c>
      <c r="AM453" t="str">
        <f t="shared" si="368"/>
        <v>1-1,76843012768851i</v>
      </c>
      <c r="AN453">
        <f t="shared" si="388"/>
        <v>2.0315868469047538</v>
      </c>
      <c r="AO453">
        <f t="shared" si="389"/>
        <v>-1.0561510956250444</v>
      </c>
      <c r="AP453" s="41" t="str">
        <f t="shared" si="390"/>
        <v>0,537181465904143-1,06324320008168i</v>
      </c>
      <c r="AQ453">
        <f t="shared" si="391"/>
        <v>1.5199770715335303</v>
      </c>
      <c r="AR453" s="43">
        <f t="shared" si="392"/>
        <v>-63.195763598531308</v>
      </c>
      <c r="AS453" t="str">
        <f t="shared" si="369"/>
        <v>-0,0000166666666666667</v>
      </c>
      <c r="AT453" t="str">
        <f t="shared" si="370"/>
        <v>0,00215636375393234i</v>
      </c>
      <c r="AU453">
        <f t="shared" si="393"/>
        <v>2.1563637539323399E-3</v>
      </c>
      <c r="AV453">
        <f t="shared" si="394"/>
        <v>1.5707963267948966</v>
      </c>
      <c r="AW453" t="str">
        <f t="shared" si="371"/>
        <v>1+9,99230296398273i</v>
      </c>
      <c r="AX453">
        <f t="shared" si="395"/>
        <v>10.042216813234916</v>
      </c>
      <c r="AY453">
        <f t="shared" si="396"/>
        <v>1.4710514079051751</v>
      </c>
      <c r="AZ453" t="str">
        <f t="shared" si="372"/>
        <v>1+464,187892235925i</v>
      </c>
      <c r="BA453">
        <f t="shared" si="397"/>
        <v>464.18896938470078</v>
      </c>
      <c r="BB453">
        <f t="shared" si="398"/>
        <v>1.5686420300764179</v>
      </c>
      <c r="BC453" s="41" t="str">
        <f t="shared" si="399"/>
        <v>-0,0348105152503487+0,355566275562799i</v>
      </c>
      <c r="BD453">
        <f t="shared" si="400"/>
        <v>-8.9401610242872405</v>
      </c>
      <c r="BE453" s="43">
        <f t="shared" si="401"/>
        <v>95.591530770468069</v>
      </c>
      <c r="BF453" s="41" t="str">
        <f t="shared" si="402"/>
        <v>0,29123698364378-0,173949420229156i</v>
      </c>
      <c r="BG453" s="20">
        <f t="shared" si="403"/>
        <v>-9.3901002894284105</v>
      </c>
      <c r="BH453" s="43">
        <f t="shared" si="404"/>
        <v>-30.848939671693977</v>
      </c>
      <c r="BI453" s="41" t="str">
        <f t="shared" si="409"/>
        <v>0,359353861059454+0,228015656764174i</v>
      </c>
      <c r="BJ453" s="20">
        <f t="shared" si="405"/>
        <v>-7.4201839527537068</v>
      </c>
      <c r="BK453" s="43">
        <f t="shared" si="410"/>
        <v>32.395767171936804</v>
      </c>
      <c r="BL453">
        <f t="shared" si="406"/>
        <v>-9.3901002894284105</v>
      </c>
      <c r="BM453" s="43">
        <f t="shared" si="407"/>
        <v>-30.848939671693977</v>
      </c>
    </row>
    <row r="454" spans="14:65" x14ac:dyDescent="0.25">
      <c r="N454" s="9">
        <v>36</v>
      </c>
      <c r="O454" s="34">
        <f t="shared" si="408"/>
        <v>229086.76527677779</v>
      </c>
      <c r="P454" s="33" t="str">
        <f t="shared" si="360"/>
        <v>54,631621870174</v>
      </c>
      <c r="Q454" s="4" t="str">
        <f t="shared" si="361"/>
        <v>1+6425,3137717602i</v>
      </c>
      <c r="R454" s="4">
        <f t="shared" si="373"/>
        <v>6425.313849577411</v>
      </c>
      <c r="S454" s="4">
        <f t="shared" si="374"/>
        <v>1.5706406923733807</v>
      </c>
      <c r="T454" s="4" t="str">
        <f t="shared" si="362"/>
        <v>1+21,763646316564i</v>
      </c>
      <c r="U454" s="4">
        <f t="shared" si="375"/>
        <v>21.786608294833087</v>
      </c>
      <c r="V454" s="4">
        <f t="shared" si="376"/>
        <v>1.5248804388771666</v>
      </c>
      <c r="W454" t="str">
        <f t="shared" si="363"/>
        <v>1-5,72783883282257i</v>
      </c>
      <c r="X454" s="4">
        <f t="shared" si="377"/>
        <v>5.8144765624078509</v>
      </c>
      <c r="Y454" s="4">
        <f t="shared" si="378"/>
        <v>-1.3979524662673557</v>
      </c>
      <c r="Z454" t="str">
        <f t="shared" si="364"/>
        <v>0,790077015900089+0,7869587286252i</v>
      </c>
      <c r="AA454" s="4">
        <f t="shared" si="379"/>
        <v>1.1151348490711699</v>
      </c>
      <c r="AB454" s="4">
        <f t="shared" si="380"/>
        <v>0.78342085678165718</v>
      </c>
      <c r="AC454" s="47" t="str">
        <f t="shared" si="381"/>
        <v>-0,589397756472668-0,765200649874728i</v>
      </c>
      <c r="AD454" s="20">
        <f t="shared" si="382"/>
        <v>-0.301547817735351</v>
      </c>
      <c r="AE454" s="43">
        <f t="shared" si="383"/>
        <v>-127.60535434791775</v>
      </c>
      <c r="AF454" t="str">
        <f t="shared" si="365"/>
        <v>171,265703090588</v>
      </c>
      <c r="AG454" t="str">
        <f t="shared" si="366"/>
        <v>1+6363,82340692996i</v>
      </c>
      <c r="AH454">
        <f t="shared" si="384"/>
        <v>6363.8234854990787</v>
      </c>
      <c r="AI454">
        <f t="shared" si="385"/>
        <v>1.5706391885577355</v>
      </c>
      <c r="AJ454" t="str">
        <f t="shared" si="367"/>
        <v>1+21,763646316564i</v>
      </c>
      <c r="AK454">
        <f t="shared" si="386"/>
        <v>21.786608294833087</v>
      </c>
      <c r="AL454">
        <f t="shared" si="387"/>
        <v>1.5248804388771666</v>
      </c>
      <c r="AM454" t="str">
        <f t="shared" si="368"/>
        <v>1-1,80962215700181i</v>
      </c>
      <c r="AN454">
        <f t="shared" si="388"/>
        <v>2.067542587496539</v>
      </c>
      <c r="AO454">
        <f t="shared" si="389"/>
        <v>-1.0659579627920674</v>
      </c>
      <c r="AP454" s="41" t="str">
        <f t="shared" si="390"/>
        <v>0,537181267224263-1,08674495206086i</v>
      </c>
      <c r="AQ454">
        <f t="shared" si="391"/>
        <v>1.6719273187660511</v>
      </c>
      <c r="AR454" s="43">
        <f t="shared" si="392"/>
        <v>-63.696675638840937</v>
      </c>
      <c r="AS454" t="str">
        <f t="shared" si="369"/>
        <v>-0,0000166666666666667</v>
      </c>
      <c r="AT454" t="str">
        <f t="shared" si="370"/>
        <v>0,00220659191820718i</v>
      </c>
      <c r="AU454">
        <f t="shared" si="393"/>
        <v>2.2065919182071799E-3</v>
      </c>
      <c r="AV454">
        <f t="shared" si="394"/>
        <v>1.5707963267948966</v>
      </c>
      <c r="AW454" t="str">
        <f t="shared" si="371"/>
        <v>1+10,2250535997897i</v>
      </c>
      <c r="AX454">
        <f t="shared" si="395"/>
        <v>10.273836728241903</v>
      </c>
      <c r="AY454">
        <f t="shared" si="396"/>
        <v>1.4733073554182574</v>
      </c>
      <c r="AZ454" t="str">
        <f t="shared" si="372"/>
        <v>1+475,000217226596i</v>
      </c>
      <c r="BA454">
        <f t="shared" si="397"/>
        <v>475.00126985652724</v>
      </c>
      <c r="BB454">
        <f t="shared" si="398"/>
        <v>1.5686910677100347</v>
      </c>
      <c r="BC454" s="41" t="str">
        <f t="shared" si="399"/>
        <v>-0,0332586272361702+0,347624372089917i</v>
      </c>
      <c r="BD454">
        <f t="shared" si="400"/>
        <v>-9.1382232515056767</v>
      </c>
      <c r="BE454" s="43">
        <f t="shared" si="401"/>
        <v>95.465084148608938</v>
      </c>
      <c r="BF454" s="41" t="str">
        <f t="shared" si="402"/>
        <v>0,285604955711858-0,179439501829958i</v>
      </c>
      <c r="BG454" s="20">
        <f t="shared" si="403"/>
        <v>-9.4397710692410346</v>
      </c>
      <c r="BH454" s="43">
        <f t="shared" si="404"/>
        <v>-32.140270199308787</v>
      </c>
      <c r="BI454" s="41" t="str">
        <f t="shared" si="409"/>
        <v>0,359913120057178+0,222880945978682i</v>
      </c>
      <c r="BJ454" s="20">
        <f t="shared" si="405"/>
        <v>-7.4662959327396274</v>
      </c>
      <c r="BK454" s="43">
        <f t="shared" si="410"/>
        <v>31.768408509768005</v>
      </c>
      <c r="BL454">
        <f t="shared" si="406"/>
        <v>-9.4397710692410346</v>
      </c>
      <c r="BM454" s="43">
        <f t="shared" si="407"/>
        <v>-32.140270199308787</v>
      </c>
    </row>
    <row r="455" spans="14:65" x14ac:dyDescent="0.25">
      <c r="N455" s="9">
        <v>37</v>
      </c>
      <c r="O455" s="34">
        <f t="shared" si="408"/>
        <v>234422.88153199267</v>
      </c>
      <c r="P455" s="33" t="str">
        <f t="shared" si="360"/>
        <v>54,631621870174</v>
      </c>
      <c r="Q455" s="4" t="str">
        <f t="shared" si="361"/>
        <v>1+6574,97855584724i</v>
      </c>
      <c r="R455" s="4">
        <f t="shared" si="373"/>
        <v>6574.9786318931147</v>
      </c>
      <c r="S455" s="4">
        <f t="shared" si="374"/>
        <v>1.5706442350452741</v>
      </c>
      <c r="T455" s="4" t="str">
        <f t="shared" si="362"/>
        <v>1+22,2705867622168i</v>
      </c>
      <c r="U455" s="4">
        <f t="shared" si="375"/>
        <v>22.293026594283383</v>
      </c>
      <c r="V455" s="4">
        <f t="shared" si="376"/>
        <v>1.5259241933793539</v>
      </c>
      <c r="W455" t="str">
        <f t="shared" si="363"/>
        <v>1-5,86125733854092i</v>
      </c>
      <c r="X455" s="4">
        <f t="shared" si="377"/>
        <v>5.9459513611027619</v>
      </c>
      <c r="Y455" s="4">
        <f t="shared" si="378"/>
        <v>-1.4018115586360818</v>
      </c>
      <c r="Z455" t="str">
        <f t="shared" si="364"/>
        <v>0,780183650456948+0,80528935221634i</v>
      </c>
      <c r="AA455" s="4">
        <f t="shared" si="379"/>
        <v>1.1212392560169047</v>
      </c>
      <c r="AB455" s="4">
        <f t="shared" si="380"/>
        <v>0.80123167407954898</v>
      </c>
      <c r="AC455" s="47" t="str">
        <f t="shared" si="381"/>
        <v>-0,615340610437575-0,765675508531146i</v>
      </c>
      <c r="AD455" s="20">
        <f t="shared" si="382"/>
        <v>-0.1551632026879543</v>
      </c>
      <c r="AE455" s="43">
        <f t="shared" si="383"/>
        <v>-128.78734896656928</v>
      </c>
      <c r="AF455" t="str">
        <f t="shared" si="365"/>
        <v>171,265703090588</v>
      </c>
      <c r="AG455" t="str">
        <f t="shared" si="366"/>
        <v>1+6512,05589642367i</v>
      </c>
      <c r="AH455">
        <f t="shared" si="384"/>
        <v>6512.0559732043375</v>
      </c>
      <c r="AI455">
        <f t="shared" si="385"/>
        <v>1.5706427654606505</v>
      </c>
      <c r="AJ455" t="str">
        <f t="shared" si="367"/>
        <v>1+22,2705867622168i</v>
      </c>
      <c r="AK455">
        <f t="shared" si="386"/>
        <v>22.293026594283383</v>
      </c>
      <c r="AL455">
        <f t="shared" si="387"/>
        <v>1.5259241933793539</v>
      </c>
      <c r="AM455" t="str">
        <f t="shared" si="368"/>
        <v>1-1,85177367193593i</v>
      </c>
      <c r="AN455">
        <f t="shared" si="388"/>
        <v>2.1045345642386293</v>
      </c>
      <c r="AO455">
        <f t="shared" si="389"/>
        <v>-1.0756454123442576</v>
      </c>
      <c r="AP455" s="41" t="str">
        <f t="shared" si="390"/>
        <v>0,53718107748645-1,11082291059558i</v>
      </c>
      <c r="AQ455">
        <f t="shared" si="391"/>
        <v>1.8255474793496647</v>
      </c>
      <c r="AR455" s="43">
        <f t="shared" si="392"/>
        <v>-64.192127826044938</v>
      </c>
      <c r="AS455" t="str">
        <f t="shared" si="369"/>
        <v>-0,0000166666666666667</v>
      </c>
      <c r="AT455" t="str">
        <f t="shared" si="370"/>
        <v>0,00225799004672476i</v>
      </c>
      <c r="AU455">
        <f t="shared" si="393"/>
        <v>2.25799004672476E-3</v>
      </c>
      <c r="AV455">
        <f t="shared" si="394"/>
        <v>1.5707963267948966</v>
      </c>
      <c r="AW455" t="str">
        <f t="shared" si="371"/>
        <v>1+10,4632256943599i</v>
      </c>
      <c r="AX455">
        <f t="shared" si="395"/>
        <v>10.510903478346341</v>
      </c>
      <c r="AY455">
        <f t="shared" si="396"/>
        <v>1.475512913608777</v>
      </c>
      <c r="AZ455" t="str">
        <f t="shared" si="372"/>
        <v>1+486,064393619812i</v>
      </c>
      <c r="BA455">
        <f t="shared" si="397"/>
        <v>486.06542228901196</v>
      </c>
      <c r="BB455">
        <f t="shared" si="398"/>
        <v>1.5687389891206165</v>
      </c>
      <c r="BC455" s="41" t="str">
        <f t="shared" si="399"/>
        <v>-0,0317752914642682+0,339853241902384i</v>
      </c>
      <c r="BD455">
        <f t="shared" si="400"/>
        <v>-9.3363718846432491</v>
      </c>
      <c r="BE455" s="43">
        <f t="shared" si="401"/>
        <v>95.341460667396348</v>
      </c>
      <c r="BF455" s="41" t="str">
        <f t="shared" si="402"/>
        <v>0,279769931066021-0,184795938880773i</v>
      </c>
      <c r="BG455" s="20">
        <f t="shared" si="403"/>
        <v>-9.4915350873312061</v>
      </c>
      <c r="BH455" s="43">
        <f t="shared" si="404"/>
        <v>-33.445888299172985</v>
      </c>
      <c r="BI455" s="41" t="str">
        <f t="shared" si="409"/>
        <v>0,360447682039128+0,217859452421747i</v>
      </c>
      <c r="BJ455" s="20">
        <f t="shared" si="405"/>
        <v>-7.5108244052935937</v>
      </c>
      <c r="BK455" s="43">
        <f t="shared" si="410"/>
        <v>31.14933284135142</v>
      </c>
      <c r="BL455">
        <f t="shared" si="406"/>
        <v>-9.4915350873312061</v>
      </c>
      <c r="BM455" s="43">
        <f t="shared" si="407"/>
        <v>-33.445888299172985</v>
      </c>
    </row>
    <row r="456" spans="14:65" x14ac:dyDescent="0.25">
      <c r="N456" s="9">
        <v>38</v>
      </c>
      <c r="O456" s="34">
        <f t="shared" si="408"/>
        <v>239883.29190194907</v>
      </c>
      <c r="P456" s="33" t="str">
        <f t="shared" si="360"/>
        <v>54,631621870174</v>
      </c>
      <c r="Q456" s="4" t="str">
        <f t="shared" si="361"/>
        <v>1+6728,12948059469i</v>
      </c>
      <c r="R456" s="4">
        <f t="shared" si="373"/>
        <v>6728.1295549095503</v>
      </c>
      <c r="S456" s="4">
        <f t="shared" si="374"/>
        <v>1.5706476970761136</v>
      </c>
      <c r="T456" s="4" t="str">
        <f t="shared" si="362"/>
        <v>1+22,789335367757i</v>
      </c>
      <c r="U456" s="4">
        <f t="shared" si="375"/>
        <v>22.811264903641362</v>
      </c>
      <c r="V456" s="4">
        <f t="shared" si="376"/>
        <v>1.5269442836738603</v>
      </c>
      <c r="W456" t="str">
        <f t="shared" si="363"/>
        <v>1-5,99778356048305i</v>
      </c>
      <c r="X456" s="4">
        <f t="shared" si="377"/>
        <v>6.0805762587439629</v>
      </c>
      <c r="Y456" s="4">
        <f t="shared" si="378"/>
        <v>-1.4055877240711012</v>
      </c>
      <c r="Z456" t="str">
        <f t="shared" si="364"/>
        <v>0,769824025065136+0,824046950881287i</v>
      </c>
      <c r="AA456" s="4">
        <f t="shared" si="379"/>
        <v>1.127688967235307</v>
      </c>
      <c r="AB456" s="4">
        <f t="shared" si="380"/>
        <v>0.81940469409811079</v>
      </c>
      <c r="AC456" s="47" t="str">
        <f t="shared" si="381"/>
        <v>-0,641803105820814-0,76523193655413i</v>
      </c>
      <c r="AD456" s="20">
        <f t="shared" si="382"/>
        <v>-1.0909516867087835E-2</v>
      </c>
      <c r="AE456" s="43">
        <f t="shared" si="383"/>
        <v>-129.98669614796762</v>
      </c>
      <c r="AF456" t="str">
        <f t="shared" si="365"/>
        <v>171,265703090588</v>
      </c>
      <c r="AG456" t="str">
        <f t="shared" si="366"/>
        <v>1+6663,74116415089i</v>
      </c>
      <c r="AH456">
        <f t="shared" si="384"/>
        <v>6663.7412391838152</v>
      </c>
      <c r="AI456">
        <f t="shared" si="385"/>
        <v>1.5706462609433187</v>
      </c>
      <c r="AJ456" t="str">
        <f t="shared" si="367"/>
        <v>1+22,789335367757i</v>
      </c>
      <c r="AK456">
        <f t="shared" si="386"/>
        <v>22.811264903641362</v>
      </c>
      <c r="AL456">
        <f t="shared" si="387"/>
        <v>1.5269442836738603</v>
      </c>
      <c r="AM456" t="str">
        <f t="shared" si="368"/>
        <v>1-1,89490702178204i</v>
      </c>
      <c r="AN456">
        <f t="shared" si="388"/>
        <v>2.1425854991572404</v>
      </c>
      <c r="AO456">
        <f t="shared" si="389"/>
        <v>-1.0852113068515876</v>
      </c>
      <c r="AP456" s="41" t="str">
        <f t="shared" si="390"/>
        <v>0,537180896288245-1,13548984213836i</v>
      </c>
      <c r="AQ456">
        <f t="shared" si="391"/>
        <v>1.9807961294568104</v>
      </c>
      <c r="AR456" s="43">
        <f t="shared" si="392"/>
        <v>-64.68196661638909</v>
      </c>
      <c r="AS456" t="str">
        <f t="shared" si="369"/>
        <v>-0,0000166666666666667</v>
      </c>
      <c r="AT456" t="str">
        <f t="shared" si="370"/>
        <v>0,00231058539145313i</v>
      </c>
      <c r="AU456">
        <f t="shared" si="393"/>
        <v>2.3105853914531299E-3</v>
      </c>
      <c r="AV456">
        <f t="shared" si="394"/>
        <v>1.5707963267948966</v>
      </c>
      <c r="AW456" t="str">
        <f t="shared" si="371"/>
        <v>1+10,7069455296904i</v>
      </c>
      <c r="AX456">
        <f t="shared" si="395"/>
        <v>10.753542791831778</v>
      </c>
      <c r="AY456">
        <f t="shared" si="396"/>
        <v>1.477669166014387</v>
      </c>
      <c r="AZ456" t="str">
        <f t="shared" si="372"/>
        <v>1+497,386287788346i</v>
      </c>
      <c r="BA456">
        <f t="shared" si="397"/>
        <v>497.38729304222414</v>
      </c>
      <c r="BB456">
        <f t="shared" si="398"/>
        <v>1.5687858197158482</v>
      </c>
      <c r="BC456" s="41" t="str">
        <f t="shared" si="399"/>
        <v>-0,0303575349409486+0,332249652306836i</v>
      </c>
      <c r="BD456">
        <f t="shared" si="400"/>
        <v>-9.5346031052782667</v>
      </c>
      <c r="BE456" s="43">
        <f t="shared" si="401"/>
        <v>95.220599700448801</v>
      </c>
      <c r="BF456" s="41" t="str">
        <f t="shared" si="402"/>
        <v>0,273731605064361-0,190008303506541i</v>
      </c>
      <c r="BG456" s="20">
        <f t="shared" si="403"/>
        <v>-9.5455126221453632</v>
      </c>
      <c r="BH456" s="43">
        <f t="shared" si="404"/>
        <v>-34.766096447518805</v>
      </c>
      <c r="BI456" s="41" t="str">
        <f t="shared" si="409"/>
        <v>0,360958617419734+0,212948838575451i</v>
      </c>
      <c r="BJ456" s="20">
        <f t="shared" si="405"/>
        <v>-7.5538069758214563</v>
      </c>
      <c r="BK456" s="43">
        <f t="shared" si="410"/>
        <v>30.538633084059665</v>
      </c>
      <c r="BL456">
        <f t="shared" si="406"/>
        <v>-9.5455126221453632</v>
      </c>
      <c r="BM456" s="43">
        <f t="shared" si="407"/>
        <v>-34.766096447518805</v>
      </c>
    </row>
    <row r="457" spans="14:65" x14ac:dyDescent="0.25">
      <c r="N457" s="9">
        <v>39</v>
      </c>
      <c r="O457" s="34">
        <f t="shared" si="408"/>
        <v>245470.89156850305</v>
      </c>
      <c r="P457" s="33" t="str">
        <f t="shared" si="360"/>
        <v>54,631621870174</v>
      </c>
      <c r="Q457" s="4" t="str">
        <f t="shared" si="361"/>
        <v>1+6884,84774865009i</v>
      </c>
      <c r="R457" s="4">
        <f t="shared" si="373"/>
        <v>6884.8478212733362</v>
      </c>
      <c r="S457" s="4">
        <f t="shared" si="374"/>
        <v>1.5706510803015135</v>
      </c>
      <c r="T457" s="4" t="str">
        <f t="shared" si="362"/>
        <v>1+23,3201671805616i</v>
      </c>
      <c r="U457" s="4">
        <f t="shared" si="375"/>
        <v>23.341598002907652</v>
      </c>
      <c r="V457" s="4">
        <f t="shared" si="376"/>
        <v>1.527941242129309</v>
      </c>
      <c r="W457" t="str">
        <f t="shared" si="363"/>
        <v>1-6,137489886659i</v>
      </c>
      <c r="X457" s="4">
        <f t="shared" si="377"/>
        <v>6.2184227991381782</v>
      </c>
      <c r="Y457" s="4">
        <f t="shared" si="378"/>
        <v>-1.4092825337609793</v>
      </c>
      <c r="Z457" t="str">
        <f t="shared" si="364"/>
        <v>0,758976165570257+0,843241470147141i</v>
      </c>
      <c r="AA457" s="4">
        <f t="shared" si="379"/>
        <v>1.1345047363848428</v>
      </c>
      <c r="AB457" s="4">
        <f t="shared" si="380"/>
        <v>0.83794267317321636</v>
      </c>
      <c r="AC457" s="47" t="str">
        <f t="shared" si="381"/>
        <v>-0,668753805359857-0,763814116519373i</v>
      </c>
      <c r="AD457" s="20">
        <f t="shared" si="382"/>
        <v>0.13108534686309123</v>
      </c>
      <c r="AE457" s="43">
        <f t="shared" si="383"/>
        <v>-131.20361344369653</v>
      </c>
      <c r="AF457" t="str">
        <f t="shared" si="365"/>
        <v>171,265703090588</v>
      </c>
      <c r="AG457" t="str">
        <f t="shared" si="366"/>
        <v>1+6818,95963564838i</v>
      </c>
      <c r="AH457">
        <f t="shared" si="384"/>
        <v>6818.9597089733479</v>
      </c>
      <c r="AI457">
        <f t="shared" si="385"/>
        <v>1.5706496768590907</v>
      </c>
      <c r="AJ457" t="str">
        <f t="shared" si="367"/>
        <v>1+23,3201671805616i</v>
      </c>
      <c r="AK457">
        <f t="shared" si="386"/>
        <v>23.341598002907652</v>
      </c>
      <c r="AL457">
        <f t="shared" si="387"/>
        <v>1.527941242129309</v>
      </c>
      <c r="AM457" t="str">
        <f t="shared" si="368"/>
        <v>1-1,93904507641315i</v>
      </c>
      <c r="AN457">
        <f t="shared" si="388"/>
        <v>2.1817185447170031</v>
      </c>
      <c r="AO457">
        <f t="shared" si="389"/>
        <v>-1.0946537147403557</v>
      </c>
      <c r="AP457" s="41" t="str">
        <f t="shared" si="390"/>
        <v>0,537180723245303-1,16075882542298i</v>
      </c>
      <c r="AQ457">
        <f t="shared" si="391"/>
        <v>2.1376317166200494</v>
      </c>
      <c r="AR457" s="43">
        <f t="shared" si="392"/>
        <v>-65.166050942566429</v>
      </c>
      <c r="AS457" t="str">
        <f t="shared" si="369"/>
        <v>-0,0000166666666666667</v>
      </c>
      <c r="AT457" t="str">
        <f t="shared" si="370"/>
        <v>0,00236440583914027i</v>
      </c>
      <c r="AU457">
        <f t="shared" si="393"/>
        <v>2.3644058391402698E-3</v>
      </c>
      <c r="AV457">
        <f t="shared" si="394"/>
        <v>1.5707963267948966</v>
      </c>
      <c r="AW457" t="str">
        <f t="shared" si="371"/>
        <v>1+10,9563423292639i</v>
      </c>
      <c r="AX457">
        <f t="shared" si="395"/>
        <v>11.001883349500661</v>
      </c>
      <c r="AY457">
        <f t="shared" si="396"/>
        <v>1.4797771756617832</v>
      </c>
      <c r="AZ457" t="str">
        <f t="shared" si="372"/>
        <v>1+508,971902750352i</v>
      </c>
      <c r="BA457">
        <f t="shared" si="397"/>
        <v>508.97288512190283</v>
      </c>
      <c r="BB457">
        <f t="shared" si="398"/>
        <v>1.5688315843251095</v>
      </c>
      <c r="BC457" s="41" t="str">
        <f t="shared" si="399"/>
        <v>-0,0290025087852651+0,324810401931156i</v>
      </c>
      <c r="BD457">
        <f t="shared" si="400"/>
        <v>-9.7329132607251054</v>
      </c>
      <c r="BE457" s="43">
        <f t="shared" si="401"/>
        <v>95.102441763441846</v>
      </c>
      <c r="BF457" s="41" t="str">
        <f t="shared" si="402"/>
        <v>0,267490308302477-0,195065666687263i</v>
      </c>
      <c r="BG457" s="20">
        <f t="shared" si="403"/>
        <v>-9.6018279138620084</v>
      </c>
      <c r="BH457" s="43">
        <f t="shared" si="404"/>
        <v>-36.101171680254758</v>
      </c>
      <c r="BI457" s="41" t="str">
        <f t="shared" si="409"/>
        <v>0,361446951985578+0,20814680465888i</v>
      </c>
      <c r="BJ457" s="20">
        <f t="shared" si="405"/>
        <v>-7.5952815441050472</v>
      </c>
      <c r="BK457" s="43">
        <f t="shared" si="410"/>
        <v>29.93639082087541</v>
      </c>
      <c r="BL457">
        <f t="shared" si="406"/>
        <v>-9.6018279138620084</v>
      </c>
      <c r="BM457" s="43">
        <f t="shared" si="407"/>
        <v>-36.101171680254758</v>
      </c>
    </row>
    <row r="458" spans="14:65" x14ac:dyDescent="0.25">
      <c r="N458" s="9">
        <v>40</v>
      </c>
      <c r="O458" s="34">
        <f t="shared" si="408"/>
        <v>251188.64315095844</v>
      </c>
      <c r="P458" s="33" t="str">
        <f t="shared" si="360"/>
        <v>54,631621870174</v>
      </c>
      <c r="Q458" s="4" t="str">
        <f t="shared" si="361"/>
        <v>1+7045,21645411359i</v>
      </c>
      <c r="R458" s="4">
        <f t="shared" si="373"/>
        <v>7045.2165250837297</v>
      </c>
      <c r="S458" s="4">
        <f t="shared" si="374"/>
        <v>1.5706543865153044</v>
      </c>
      <c r="T458" s="4" t="str">
        <f t="shared" si="362"/>
        <v>1+23,8633636546844i</v>
      </c>
      <c r="U458" s="4">
        <f t="shared" si="375"/>
        <v>23.884307084688732</v>
      </c>
      <c r="V458" s="4">
        <f t="shared" si="376"/>
        <v>1.5289155894145303</v>
      </c>
      <c r="W458" t="str">
        <f t="shared" si="363"/>
        <v>1-6,28045039121218i</v>
      </c>
      <c r="X458" s="4">
        <f t="shared" si="377"/>
        <v>6.3595642237874461</v>
      </c>
      <c r="Y458" s="4">
        <f t="shared" si="378"/>
        <v>-1.412897543017402</v>
      </c>
      <c r="Z458" t="str">
        <f t="shared" si="364"/>
        <v>0,747617062207921+0,862883087202094i</v>
      </c>
      <c r="AA458" s="4">
        <f t="shared" si="379"/>
        <v>1.1417085853596001</v>
      </c>
      <c r="AB458" s="4">
        <f t="shared" si="380"/>
        <v>0.85684789993021082</v>
      </c>
      <c r="AC458" s="47" t="str">
        <f t="shared" si="381"/>
        <v>-0,696156411280442-0,761366062992568i</v>
      </c>
      <c r="AD458" s="20">
        <f t="shared" si="382"/>
        <v>0.27068971386680191</v>
      </c>
      <c r="AE458" s="43">
        <f t="shared" si="383"/>
        <v>-132.43829136577708</v>
      </c>
      <c r="AF458" t="str">
        <f t="shared" si="365"/>
        <v>171,265703090588</v>
      </c>
      <c r="AG458" t="str">
        <f t="shared" si="366"/>
        <v>1+6977,79360980434i</v>
      </c>
      <c r="AH458">
        <f t="shared" si="384"/>
        <v>6977.7936814602281</v>
      </c>
      <c r="AI458">
        <f t="shared" si="385"/>
        <v>1.57065301501913</v>
      </c>
      <c r="AJ458" t="str">
        <f t="shared" si="367"/>
        <v>1+23,8633636546844i</v>
      </c>
      <c r="AK458">
        <f t="shared" si="386"/>
        <v>23.884307084688732</v>
      </c>
      <c r="AL458">
        <f t="shared" si="387"/>
        <v>1.5289155894145303</v>
      </c>
      <c r="AM458" t="str">
        <f t="shared" si="368"/>
        <v>1-1,98421123841008i</v>
      </c>
      <c r="AN458">
        <f t="shared" si="388"/>
        <v>2.2219572990120366</v>
      </c>
      <c r="AO458">
        <f t="shared" si="389"/>
        <v>-1.1039709066244432</v>
      </c>
      <c r="AP458" s="41" t="str">
        <f t="shared" si="390"/>
        <v>0,537180557990574-1,18664325839901i</v>
      </c>
      <c r="AQ458">
        <f t="shared" si="391"/>
        <v>2.296012650495808</v>
      </c>
      <c r="AR458" s="43">
        <f t="shared" si="392"/>
        <v>-65.644251989696556</v>
      </c>
      <c r="AS458" t="str">
        <f t="shared" si="369"/>
        <v>-0,0000166666666666667</v>
      </c>
      <c r="AT458" t="str">
        <f t="shared" si="370"/>
        <v>0,00241947992609994i</v>
      </c>
      <c r="AU458">
        <f t="shared" si="393"/>
        <v>2.4194799260999402E-3</v>
      </c>
      <c r="AV458">
        <f t="shared" si="394"/>
        <v>1.5707963267948966</v>
      </c>
      <c r="AW458" t="str">
        <f t="shared" si="371"/>
        <v>1+11,2115483265648i</v>
      </c>
      <c r="AX458">
        <f t="shared" si="395"/>
        <v>11.256056853041297</v>
      </c>
      <c r="AY458">
        <f t="shared" si="396"/>
        <v>1.4818379852652195</v>
      </c>
      <c r="AZ458" t="str">
        <f t="shared" si="372"/>
        <v>1+520,827381352238i</v>
      </c>
      <c r="BA458">
        <f t="shared" si="397"/>
        <v>520.82834136232407</v>
      </c>
      <c r="BB458">
        <f t="shared" si="398"/>
        <v>1.5688763072126344</v>
      </c>
      <c r="BC458" s="41" t="str">
        <f t="shared" si="399"/>
        <v>-0,0277074834714654+0,317532322680371i</v>
      </c>
      <c r="BD458">
        <f t="shared" si="400"/>
        <v>-9.9312988571029255</v>
      </c>
      <c r="BE458" s="43">
        <f t="shared" si="401"/>
        <v>94.986928503487775</v>
      </c>
      <c r="BF458" s="41" t="str">
        <f t="shared" si="402"/>
        <v>0,261047076651147-0,199956624616609i</v>
      </c>
      <c r="BG458" s="20">
        <f t="shared" si="403"/>
        <v>-9.6606091432361314</v>
      </c>
      <c r="BH458" s="43">
        <f t="shared" si="404"/>
        <v>-37.451362862289308</v>
      </c>
      <c r="BI458" s="41" t="str">
        <f t="shared" si="409"/>
        <v>0,361913668600725+0,203451088746101i</v>
      </c>
      <c r="BJ458" s="20">
        <f t="shared" si="405"/>
        <v>-7.6352862066071197</v>
      </c>
      <c r="BK458" s="43">
        <f t="shared" si="410"/>
        <v>29.342676513791215</v>
      </c>
      <c r="BL458">
        <f t="shared" si="406"/>
        <v>-9.6606091432361314</v>
      </c>
      <c r="BM458" s="43">
        <f t="shared" si="407"/>
        <v>-37.451362862289308</v>
      </c>
    </row>
    <row r="459" spans="14:65" x14ac:dyDescent="0.25">
      <c r="N459" s="9">
        <v>41</v>
      </c>
      <c r="O459" s="34">
        <f t="shared" si="408"/>
        <v>257039.57827688678</v>
      </c>
      <c r="P459" s="33" t="str">
        <f t="shared" si="360"/>
        <v>54,631621870174</v>
      </c>
      <c r="Q459" s="4" t="str">
        <f t="shared" si="361"/>
        <v>1+7209,32062659548i</v>
      </c>
      <c r="R459" s="4">
        <f t="shared" si="373"/>
        <v>7209.3206959501422</v>
      </c>
      <c r="S459" s="4">
        <f t="shared" si="374"/>
        <v>1.5706576174704843</v>
      </c>
      <c r="T459" s="4" t="str">
        <f t="shared" si="362"/>
        <v>1+24,4192128000857i</v>
      </c>
      <c r="U459" s="4">
        <f t="shared" si="375"/>
        <v>24.439679903302114</v>
      </c>
      <c r="V459" s="4">
        <f t="shared" si="376"/>
        <v>1.5298678347371422</v>
      </c>
      <c r="W459" t="str">
        <f t="shared" si="363"/>
        <v>1-6,42674087369433i</v>
      </c>
      <c r="X459" s="4">
        <f t="shared" si="377"/>
        <v>6.504075511370802</v>
      </c>
      <c r="Y459" s="4">
        <f t="shared" si="378"/>
        <v>-1.4164342904377465</v>
      </c>
      <c r="Z459" t="str">
        <f t="shared" si="364"/>
        <v>0,735722620796961+0,882982216291483i</v>
      </c>
      <c r="AA459" s="4">
        <f t="shared" si="379"/>
        <v>1.1493238747365202</v>
      </c>
      <c r="AB459" s="4">
        <f t="shared" si="380"/>
        <v>0.87612214643337816</v>
      </c>
      <c r="AC459" s="47" t="str">
        <f t="shared" si="381"/>
        <v>-0,723969513334492-0,757832008226502i</v>
      </c>
      <c r="AD459" s="20">
        <f t="shared" si="382"/>
        <v>0.40776817450989494</v>
      </c>
      <c r="AE459" s="43">
        <f t="shared" si="383"/>
        <v>-133.69089052614166</v>
      </c>
      <c r="AF459" t="str">
        <f t="shared" si="365"/>
        <v>171,265703090588</v>
      </c>
      <c r="AG459" t="str">
        <f t="shared" si="366"/>
        <v>1+7140,32730249419i</v>
      </c>
      <c r="AH459">
        <f t="shared" si="384"/>
        <v>7140.3273725189902</v>
      </c>
      <c r="AI459">
        <f t="shared" si="385"/>
        <v>1.570656277193373</v>
      </c>
      <c r="AJ459" t="str">
        <f t="shared" si="367"/>
        <v>1+24,4192128000857i</v>
      </c>
      <c r="AK459">
        <f t="shared" si="386"/>
        <v>24.439679903302114</v>
      </c>
      <c r="AL459">
        <f t="shared" si="387"/>
        <v>1.5298678347371422</v>
      </c>
      <c r="AM459" t="str">
        <f t="shared" si="368"/>
        <v>1-2,03042945546975i</v>
      </c>
      <c r="AN459">
        <f t="shared" si="388"/>
        <v>2.2633258213609428</v>
      </c>
      <c r="AO459">
        <f t="shared" si="389"/>
        <v>-1.1131613510864966</v>
      </c>
      <c r="AP459" s="41" t="str">
        <f t="shared" si="390"/>
        <v>0,537180400173533-1,21315686533559i</v>
      </c>
      <c r="AQ459">
        <f t="shared" si="391"/>
        <v>2.4558973892842775</v>
      </c>
      <c r="AR459" s="43">
        <f t="shared" si="392"/>
        <v>-66.116452939991021</v>
      </c>
      <c r="AS459" t="str">
        <f t="shared" si="369"/>
        <v>-0,0000166666666666667</v>
      </c>
      <c r="AT459" t="str">
        <f t="shared" si="370"/>
        <v>0,00247583685334203i</v>
      </c>
      <c r="AU459">
        <f t="shared" si="393"/>
        <v>2.4758368533420302E-3</v>
      </c>
      <c r="AV459">
        <f t="shared" si="394"/>
        <v>1.5707963267948966</v>
      </c>
      <c r="AW459" t="str">
        <f t="shared" si="371"/>
        <v>1+11,4726988351908i</v>
      </c>
      <c r="AX459">
        <f t="shared" si="395"/>
        <v>11.516198094987265</v>
      </c>
      <c r="AY459">
        <f t="shared" si="396"/>
        <v>1.483852617437472</v>
      </c>
      <c r="AZ459" t="str">
        <f t="shared" si="372"/>
        <v>1+532,95900952568i</v>
      </c>
      <c r="BA459">
        <f t="shared" si="397"/>
        <v>532.95994768330752</v>
      </c>
      <c r="BB459">
        <f t="shared" si="398"/>
        <v>1.5689200120903741</v>
      </c>
      <c r="BC459" s="41" t="str">
        <f t="shared" si="399"/>
        <v>-0,0264698442157711+0,310412281485971i</v>
      </c>
      <c r="BD459">
        <f t="shared" si="400"/>
        <v>-10.1297565526715</v>
      </c>
      <c r="BE459" s="43">
        <f t="shared" si="401"/>
        <v>94.874002687785037</v>
      </c>
      <c r="BF459" s="41" t="str">
        <f t="shared" si="402"/>
        <v>0,254403722891615-0,204669333160967i</v>
      </c>
      <c r="BG459" s="20">
        <f t="shared" si="403"/>
        <v>-9.7219883781616172</v>
      </c>
      <c r="BH459" s="43">
        <f t="shared" si="404"/>
        <v>-38.816887838356621</v>
      </c>
      <c r="BI459" s="41" t="str">
        <f t="shared" si="409"/>
        <v>0,36235970886083+0,19885946682214i</v>
      </c>
      <c r="BJ459" s="20">
        <f t="shared" si="405"/>
        <v>-7.6738591633872257</v>
      </c>
      <c r="BK459" s="43">
        <f t="shared" si="410"/>
        <v>28.757549747794098</v>
      </c>
      <c r="BL459">
        <f t="shared" si="406"/>
        <v>-9.7219883781616172</v>
      </c>
      <c r="BM459" s="43">
        <f t="shared" si="407"/>
        <v>-38.816887838356621</v>
      </c>
    </row>
    <row r="460" spans="14:65" x14ac:dyDescent="0.25">
      <c r="N460" s="9">
        <v>42</v>
      </c>
      <c r="O460" s="34">
        <f t="shared" si="408"/>
        <v>263026.79918953858</v>
      </c>
      <c r="P460" s="33" t="str">
        <f t="shared" si="360"/>
        <v>54,631621870174</v>
      </c>
      <c r="Q460" s="4" t="str">
        <f t="shared" si="361"/>
        <v>1+7377,24727630024i</v>
      </c>
      <c r="R460" s="4">
        <f t="shared" si="373"/>
        <v>7377.2473440761969</v>
      </c>
      <c r="S460" s="4">
        <f t="shared" si="374"/>
        <v>1.5706607748801482</v>
      </c>
      <c r="T460" s="4" t="str">
        <f t="shared" si="362"/>
        <v>1+24,9880093353402i</v>
      </c>
      <c r="U460" s="4">
        <f t="shared" si="375"/>
        <v>25.008010927361841</v>
      </c>
      <c r="V460" s="4">
        <f t="shared" si="376"/>
        <v>1.5307984760785334</v>
      </c>
      <c r="W460" t="str">
        <f t="shared" si="363"/>
        <v>1-6,57643889925569i</v>
      </c>
      <c r="X460" s="4">
        <f t="shared" si="377"/>
        <v>6.6520334181093377</v>
      </c>
      <c r="Y460" s="4">
        <f t="shared" si="378"/>
        <v>-1.4198942971535682</v>
      </c>
      <c r="Z460" t="str">
        <f t="shared" si="364"/>
        <v>0,723267611632425+0,903549514239603i</v>
      </c>
      <c r="AA460" s="4">
        <f t="shared" si="379"/>
        <v>1.1573753767551369</v>
      </c>
      <c r="AB460" s="4">
        <f t="shared" si="380"/>
        <v>0.89576661737464425</v>
      </c>
      <c r="AC460" s="47" t="str">
        <f t="shared" si="381"/>
        <v>-0,752146359691177-0,753156835048658i</v>
      </c>
      <c r="AD460" s="20">
        <f t="shared" si="382"/>
        <v>0.54218166725752714</v>
      </c>
      <c r="AE460" s="43">
        <f t="shared" si="383"/>
        <v>-134.96153866889293</v>
      </c>
      <c r="AF460" t="str">
        <f t="shared" si="365"/>
        <v>171,265703090588</v>
      </c>
      <c r="AG460" t="str">
        <f t="shared" si="366"/>
        <v>1+7306,64689123324i</v>
      </c>
      <c r="AH460">
        <f t="shared" si="384"/>
        <v>7306.6469596640827</v>
      </c>
      <c r="AI460">
        <f t="shared" si="385"/>
        <v>1.5706594651114676</v>
      </c>
      <c r="AJ460" t="str">
        <f t="shared" si="367"/>
        <v>1+24,9880093353402i</v>
      </c>
      <c r="AK460">
        <f t="shared" si="386"/>
        <v>25.008010927361841</v>
      </c>
      <c r="AL460">
        <f t="shared" si="387"/>
        <v>1.5307984760785334</v>
      </c>
      <c r="AM460" t="str">
        <f t="shared" si="368"/>
        <v>1-2,07772423310262i</v>
      </c>
      <c r="AN460">
        <f t="shared" si="388"/>
        <v>2.3058486482902283</v>
      </c>
      <c r="AO460">
        <f t="shared" si="389"/>
        <v>-1.1222237099645289</v>
      </c>
      <c r="AP460" s="41" t="str">
        <f t="shared" si="390"/>
        <v>0,53718024945943-1,24031370409821i</v>
      </c>
      <c r="AQ460">
        <f t="shared" si="391"/>
        <v>2.6172445216013167</v>
      </c>
      <c r="AR460" s="43">
        <f t="shared" si="392"/>
        <v>-66.582548689285275</v>
      </c>
      <c r="AS460" t="str">
        <f t="shared" si="369"/>
        <v>-0,0000166666666666667</v>
      </c>
      <c r="AT460" t="str">
        <f t="shared" si="370"/>
        <v>0,00253350650205533i</v>
      </c>
      <c r="AU460">
        <f t="shared" si="393"/>
        <v>2.5335065020553301E-3</v>
      </c>
      <c r="AV460">
        <f t="shared" si="394"/>
        <v>1.5707963267948966</v>
      </c>
      <c r="AW460" t="str">
        <f t="shared" si="371"/>
        <v>1+11,7399323205983i</v>
      </c>
      <c r="AX460">
        <f t="shared" si="395"/>
        <v>11.782445030307951</v>
      </c>
      <c r="AY460">
        <f t="shared" si="396"/>
        <v>1.4858220749119426</v>
      </c>
      <c r="AZ460" t="str">
        <f t="shared" si="372"/>
        <v>1+545,37321962052i</v>
      </c>
      <c r="BA460">
        <f t="shared" si="397"/>
        <v>545.37413642310901</v>
      </c>
      <c r="BB460">
        <f t="shared" si="398"/>
        <v>1.5689627221305651</v>
      </c>
      <c r="BC460" s="41" t="str">
        <f t="shared" si="399"/>
        <v>-0,0252870865067499+0,303447181862501i</v>
      </c>
      <c r="BD460">
        <f t="shared" si="400"/>
        <v>-10.328283151425421</v>
      </c>
      <c r="BE460" s="43">
        <f t="shared" si="401"/>
        <v>94.763608191613159</v>
      </c>
      <c r="BF460" s="41" t="str">
        <f t="shared" si="402"/>
        <v>0,247562909159244-0,209191551155401i</v>
      </c>
      <c r="BG460" s="20">
        <f t="shared" si="403"/>
        <v>-9.7861014841678919</v>
      </c>
      <c r="BH460" s="43">
        <f t="shared" si="404"/>
        <v>-40.197930477279698</v>
      </c>
      <c r="BI460" s="41" t="str">
        <f t="shared" si="409"/>
        <v>0,362785974696244+0,194369752781698i</v>
      </c>
      <c r="BJ460" s="20">
        <f t="shared" si="405"/>
        <v>-7.7110386298241007</v>
      </c>
      <c r="BK460" s="43">
        <f t="shared" si="410"/>
        <v>28.181059502327837</v>
      </c>
      <c r="BL460">
        <f t="shared" si="406"/>
        <v>-9.7861014841678919</v>
      </c>
      <c r="BM460" s="43">
        <f t="shared" si="407"/>
        <v>-40.197930477279698</v>
      </c>
    </row>
    <row r="461" spans="14:65" x14ac:dyDescent="0.25">
      <c r="N461" s="9">
        <v>43</v>
      </c>
      <c r="O461" s="34">
        <f t="shared" si="408"/>
        <v>269153.48039269145</v>
      </c>
      <c r="P461" s="33" t="str">
        <f t="shared" si="360"/>
        <v>54,631621870174</v>
      </c>
      <c r="Q461" s="4" t="str">
        <f t="shared" si="361"/>
        <v>1+7549,08544016033i</v>
      </c>
      <c r="R461" s="4">
        <f t="shared" si="373"/>
        <v>7549.0855063935178</v>
      </c>
      <c r="S461" s="4">
        <f t="shared" si="374"/>
        <v>1.570663860418396</v>
      </c>
      <c r="T461" s="4" t="str">
        <f t="shared" si="362"/>
        <v>1+25,5700548438997i</v>
      </c>
      <c r="U461" s="4">
        <f t="shared" si="375"/>
        <v>25.589601495920927</v>
      </c>
      <c r="V461" s="4">
        <f t="shared" si="376"/>
        <v>1.5317080004252071</v>
      </c>
      <c r="W461" t="str">
        <f t="shared" si="363"/>
        <v>1-6,72962383977092i</v>
      </c>
      <c r="X461" s="4">
        <f t="shared" si="377"/>
        <v>6.8035165190372755</v>
      </c>
      <c r="Y461" s="4">
        <f t="shared" si="378"/>
        <v>-1.4232790661598862</v>
      </c>
      <c r="Z461" t="str">
        <f t="shared" si="364"/>
        <v>0,710225615970003+0,924595886100067i</v>
      </c>
      <c r="AA461" s="4">
        <f t="shared" si="379"/>
        <v>1.1658893507418009</v>
      </c>
      <c r="AB461" s="4">
        <f t="shared" si="380"/>
        <v>0.91578189758039263</v>
      </c>
      <c r="AC461" s="47" t="str">
        <f t="shared" si="381"/>
        <v>-0,780634657664877-0,747286557501487i</v>
      </c>
      <c r="AD461" s="20">
        <f t="shared" si="382"/>
        <v>0.67378760192105247</v>
      </c>
      <c r="AE461" s="43">
        <f t="shared" si="383"/>
        <v>-136.25032761103313</v>
      </c>
      <c r="AF461" t="str">
        <f t="shared" si="365"/>
        <v>171,265703090588</v>
      </c>
      <c r="AG461" t="str">
        <f t="shared" si="366"/>
        <v>1+7476,84056086894i</v>
      </c>
      <c r="AH461">
        <f t="shared" si="384"/>
        <v>7476.8406277421054</v>
      </c>
      <c r="AI461">
        <f t="shared" si="385"/>
        <v>1.5706625804636893</v>
      </c>
      <c r="AJ461" t="str">
        <f t="shared" si="367"/>
        <v>1+25,5700548438997i</v>
      </c>
      <c r="AK461">
        <f t="shared" si="386"/>
        <v>25.589601495920927</v>
      </c>
      <c r="AL461">
        <f t="shared" si="387"/>
        <v>1.5317080004252071</v>
      </c>
      <c r="AM461" t="str">
        <f t="shared" si="368"/>
        <v>1-2,12612064762582i</v>
      </c>
      <c r="AN461">
        <f t="shared" si="388"/>
        <v>2.3495508098912938</v>
      </c>
      <c r="AO461">
        <f t="shared" si="389"/>
        <v>-1.1311568331990725</v>
      </c>
      <c r="AP461" s="41" t="str">
        <f t="shared" si="390"/>
        <v>0,537180105528578-1,26812817360238i</v>
      </c>
      <c r="AQ461">
        <f t="shared" si="391"/>
        <v>2.7800128436470266</v>
      </c>
      <c r="AR461" s="43">
        <f t="shared" si="392"/>
        <v>-67.042445538600049</v>
      </c>
      <c r="AS461" t="str">
        <f t="shared" si="369"/>
        <v>-0,0000166666666666667</v>
      </c>
      <c r="AT461" t="str">
        <f t="shared" si="370"/>
        <v>0,00259251944945094i</v>
      </c>
      <c r="AU461">
        <f t="shared" si="393"/>
        <v>2.5925194494509402E-3</v>
      </c>
      <c r="AV461">
        <f t="shared" si="394"/>
        <v>1.5707963267948966</v>
      </c>
      <c r="AW461" t="str">
        <f t="shared" si="371"/>
        <v>1+12,0133904735186i</v>
      </c>
      <c r="AX461">
        <f t="shared" si="395"/>
        <v>12.054938849667694</v>
      </c>
      <c r="AY461">
        <f t="shared" si="396"/>
        <v>1.4877473407746646</v>
      </c>
      <c r="AZ461" t="str">
        <f t="shared" si="372"/>
        <v>1+558,076593815271i</v>
      </c>
      <c r="BA461">
        <f t="shared" si="397"/>
        <v>558.07748974891911</v>
      </c>
      <c r="BB461">
        <f t="shared" si="398"/>
        <v>1.569004459978012</v>
      </c>
      <c r="BC461" s="41" t="str">
        <f t="shared" si="399"/>
        <v>-0,0241568117781044+0,296633965284487i</v>
      </c>
      <c r="BD461">
        <f t="shared" si="400"/>
        <v>-10.526875596939259</v>
      </c>
      <c r="BE461" s="43">
        <f t="shared" si="401"/>
        <v>94.655689985743223</v>
      </c>
      <c r="BF461" s="41" t="str">
        <f t="shared" si="402"/>
        <v>0,240528219248135-0,21351069322776i</v>
      </c>
      <c r="BG461" s="20">
        <f t="shared" si="403"/>
        <v>-9.8530879950182015</v>
      </c>
      <c r="BH461" s="43">
        <f t="shared" si="404"/>
        <v>-41.594637625289984</v>
      </c>
      <c r="BI461" s="41" t="str">
        <f t="shared" si="409"/>
        <v>0,363193329924452+0,189979798375105i</v>
      </c>
      <c r="BJ461" s="20">
        <f t="shared" si="405"/>
        <v>-7.7468627532922376</v>
      </c>
      <c r="BK461" s="43">
        <f t="shared" si="410"/>
        <v>27.613244447143167</v>
      </c>
      <c r="BL461">
        <f t="shared" si="406"/>
        <v>-9.8530879950182015</v>
      </c>
      <c r="BM461" s="43">
        <f t="shared" si="407"/>
        <v>-41.594637625289984</v>
      </c>
    </row>
    <row r="462" spans="14:65" x14ac:dyDescent="0.25">
      <c r="N462" s="9">
        <v>44</v>
      </c>
      <c r="O462" s="34">
        <f t="shared" si="408"/>
        <v>275422.87033381703</v>
      </c>
      <c r="P462" s="33" t="str">
        <f t="shared" si="360"/>
        <v>54,631621870174</v>
      </c>
      <c r="Q462" s="4" t="str">
        <f t="shared" si="361"/>
        <v>1+7724,92622904475i</v>
      </c>
      <c r="R462" s="4">
        <f t="shared" si="373"/>
        <v>7724.926293770287</v>
      </c>
      <c r="S462" s="4">
        <f t="shared" si="374"/>
        <v>1.570666875721221</v>
      </c>
      <c r="T462" s="4" t="str">
        <f t="shared" si="362"/>
        <v>1+26,1656579339972i</v>
      </c>
      <c r="U462" s="4">
        <f t="shared" si="375"/>
        <v>26.1847599782574</v>
      </c>
      <c r="V462" s="4">
        <f t="shared" si="376"/>
        <v>1.5325968839964583</v>
      </c>
      <c r="W462" t="str">
        <f t="shared" si="363"/>
        <v>1-6,88637691592309i</v>
      </c>
      <c r="X462" s="4">
        <f t="shared" si="377"/>
        <v>6.9586052502034059</v>
      </c>
      <c r="Y462" s="4">
        <f t="shared" si="378"/>
        <v>-1.4265900817203763</v>
      </c>
      <c r="Z462" t="str">
        <f t="shared" si="364"/>
        <v>0,696568969988324+0,946132490937814i</v>
      </c>
      <c r="AA462" s="4">
        <f t="shared" si="379"/>
        <v>1.1748936208690501</v>
      </c>
      <c r="AB462" s="4">
        <f t="shared" si="380"/>
        <v>0.9361678981855186</v>
      </c>
      <c r="AC462" s="47" t="str">
        <f t="shared" si="381"/>
        <v>-0,809376411873595-0,740168848905717i</v>
      </c>
      <c r="AD462" s="20">
        <f t="shared" si="382"/>
        <v>0.80244002686372207</v>
      </c>
      <c r="AE462" s="43">
        <f t="shared" si="383"/>
        <v>-137.55731011139079</v>
      </c>
      <c r="AF462" t="str">
        <f t="shared" si="365"/>
        <v>171,265703090588</v>
      </c>
      <c r="AG462" t="str">
        <f t="shared" si="366"/>
        <v>1+7650,99855033771i</v>
      </c>
      <c r="AH462">
        <f t="shared" si="384"/>
        <v>7650.9986156886562</v>
      </c>
      <c r="AI462">
        <f t="shared" si="385"/>
        <v>1.5706656249018396</v>
      </c>
      <c r="AJ462" t="str">
        <f t="shared" si="367"/>
        <v>1+26,1656579339972i</v>
      </c>
      <c r="AK462">
        <f t="shared" si="386"/>
        <v>26.1847599782574</v>
      </c>
      <c r="AL462">
        <f t="shared" si="387"/>
        <v>1.5325968839964583</v>
      </c>
      <c r="AM462" t="str">
        <f t="shared" si="368"/>
        <v>1-2,17564435945892i</v>
      </c>
      <c r="AN462">
        <f t="shared" si="388"/>
        <v>2.3944578465375863</v>
      </c>
      <c r="AO462">
        <f t="shared" si="389"/>
        <v>-1.1399597532953019</v>
      </c>
      <c r="AP462" s="41" t="str">
        <f t="shared" si="390"/>
        <v>0,537179968075682-1,29661502144813i</v>
      </c>
      <c r="AQ462">
        <f t="shared" si="391"/>
        <v>2.9441614315614091</v>
      </c>
      <c r="AR462" s="43">
        <f t="shared" si="392"/>
        <v>-67.496060863850772</v>
      </c>
      <c r="AS462" t="str">
        <f t="shared" si="369"/>
        <v>-0,0000166666666666667</v>
      </c>
      <c r="AT462" t="str">
        <f t="shared" si="370"/>
        <v>0,00265290698497471i</v>
      </c>
      <c r="AU462">
        <f t="shared" si="393"/>
        <v>2.6529069849747099E-3</v>
      </c>
      <c r="AV462">
        <f t="shared" si="394"/>
        <v>1.5707963267948966</v>
      </c>
      <c r="AW462" t="str">
        <f t="shared" si="371"/>
        <v>1+12,2932182850839i</v>
      </c>
      <c r="AX462">
        <f t="shared" si="395"/>
        <v>12.333824054392908</v>
      </c>
      <c r="AY462">
        <f t="shared" si="396"/>
        <v>1.4896293787050692</v>
      </c>
      <c r="AZ462" t="str">
        <f t="shared" si="372"/>
        <v>1+571,075867607081i</v>
      </c>
      <c r="BA462">
        <f t="shared" si="397"/>
        <v>571.07674314682106</v>
      </c>
      <c r="BB462">
        <f t="shared" si="398"/>
        <v>1.5690452477620924</v>
      </c>
      <c r="BC462" s="41" t="str">
        <f t="shared" si="399"/>
        <v>-0,0230767232223462+0,289969612396102i</v>
      </c>
      <c r="BD462">
        <f t="shared" si="400"/>
        <v>-10.725530966454285</v>
      </c>
      <c r="BE462" s="43">
        <f t="shared" si="401"/>
        <v>94.550194123331025</v>
      </c>
      <c r="BF462" s="41" t="str">
        <f t="shared" si="402"/>
        <v>0,233304229664362-0,217613892769534i</v>
      </c>
      <c r="BG462" s="20">
        <f t="shared" si="403"/>
        <v>-9.9230909395905744</v>
      </c>
      <c r="BH462" s="43">
        <f t="shared" si="404"/>
        <v>-43.007115988059773</v>
      </c>
      <c r="BI462" s="41" t="str">
        <f t="shared" si="409"/>
        <v>0,363582601752406+0,185687493105751i</v>
      </c>
      <c r="BJ462" s="20">
        <f t="shared" si="405"/>
        <v>-7.7813695348928826</v>
      </c>
      <c r="BK462" s="43">
        <f t="shared" si="410"/>
        <v>27.054133259480295</v>
      </c>
      <c r="BL462">
        <f t="shared" si="406"/>
        <v>-9.9230909395905744</v>
      </c>
      <c r="BM462" s="43">
        <f t="shared" si="407"/>
        <v>-43.007115988059773</v>
      </c>
    </row>
    <row r="463" spans="14:65" x14ac:dyDescent="0.25">
      <c r="N463" s="9">
        <v>45</v>
      </c>
      <c r="O463" s="34">
        <f t="shared" si="408"/>
        <v>281838.29312644573</v>
      </c>
      <c r="P463" s="33" t="str">
        <f t="shared" si="360"/>
        <v>54,631621870174</v>
      </c>
      <c r="Q463" s="4" t="str">
        <f t="shared" si="361"/>
        <v>1+7904,86287606729i</v>
      </c>
      <c r="R463" s="4">
        <f t="shared" si="373"/>
        <v>7904.8629393194942</v>
      </c>
      <c r="S463" s="4">
        <f t="shared" si="374"/>
        <v>1.5706698223873763</v>
      </c>
      <c r="T463" s="4" t="str">
        <f t="shared" si="362"/>
        <v>1+26,7751344022746i</v>
      </c>
      <c r="U463" s="4">
        <f t="shared" si="375"/>
        <v>26.793801937385982</v>
      </c>
      <c r="V463" s="4">
        <f t="shared" si="376"/>
        <v>1.5334655924683616</v>
      </c>
      <c r="W463" t="str">
        <f t="shared" si="363"/>
        <v>1-7,04678124026805i</v>
      </c>
      <c r="X463" s="4">
        <f t="shared" si="377"/>
        <v>7.1173819518270696</v>
      </c>
      <c r="Y463" s="4">
        <f t="shared" si="378"/>
        <v>-1.4298288088437712</v>
      </c>
      <c r="Z463" t="str">
        <f t="shared" si="364"/>
        <v>0,682268706110285+0,9681707477458i</v>
      </c>
      <c r="AA463" s="4">
        <f t="shared" si="379"/>
        <v>1.1844176561196915</v>
      </c>
      <c r="AB463" s="4">
        <f t="shared" si="380"/>
        <v>0.95692380189891058</v>
      </c>
      <c r="AC463" s="47" t="str">
        <f t="shared" si="381"/>
        <v>-0,838307807945349-0,731753615956272i</v>
      </c>
      <c r="AD463" s="20">
        <f t="shared" si="382"/>
        <v>0.92798984387229266</v>
      </c>
      <c r="AE463" s="43">
        <f t="shared" si="383"/>
        <v>-138.88249669178023</v>
      </c>
      <c r="AF463" t="str">
        <f t="shared" si="365"/>
        <v>171,265703090588</v>
      </c>
      <c r="AG463" t="str">
        <f t="shared" si="366"/>
        <v>1+7829,21320051079i</v>
      </c>
      <c r="AH463">
        <f t="shared" si="384"/>
        <v>7829.2132643741661</v>
      </c>
      <c r="AI463">
        <f t="shared" si="385"/>
        <v>1.5706686000401191</v>
      </c>
      <c r="AJ463" t="str">
        <f t="shared" si="367"/>
        <v>1+26,7751344022746i</v>
      </c>
      <c r="AK463">
        <f t="shared" si="386"/>
        <v>26.793801937385982</v>
      </c>
      <c r="AL463">
        <f t="shared" si="387"/>
        <v>1.5334655924683616</v>
      </c>
      <c r="AM463" t="str">
        <f t="shared" si="368"/>
        <v>1-2,22632162672946i</v>
      </c>
      <c r="AN463">
        <f t="shared" si="388"/>
        <v>2.4405958259497433</v>
      </c>
      <c r="AO463">
        <f t="shared" si="389"/>
        <v>-1.148631679453296</v>
      </c>
      <c r="AP463" s="41" t="str">
        <f t="shared" si="390"/>
        <v>0,537179836809183-1,32578935173934i</v>
      </c>
      <c r="AQ463">
        <f t="shared" si="391"/>
        <v>3.1096497089003345</v>
      </c>
      <c r="AR463" s="43">
        <f t="shared" si="392"/>
        <v>-67.943322766752374</v>
      </c>
      <c r="AS463" t="str">
        <f t="shared" si="369"/>
        <v>-0,0000166666666666667</v>
      </c>
      <c r="AT463" t="str">
        <f t="shared" si="370"/>
        <v>0,00271470112689728i</v>
      </c>
      <c r="AU463">
        <f t="shared" si="393"/>
        <v>2.7147011268972799E-3</v>
      </c>
      <c r="AV463">
        <f t="shared" si="394"/>
        <v>1.5707963267948966</v>
      </c>
      <c r="AW463" t="str">
        <f t="shared" si="371"/>
        <v>1+12,579564123704i</v>
      </c>
      <c r="AX463">
        <f t="shared" si="395"/>
        <v>12.619248533188527</v>
      </c>
      <c r="AY463">
        <f t="shared" si="396"/>
        <v>1.4914691332244545</v>
      </c>
      <c r="AZ463" t="str">
        <f t="shared" si="372"/>
        <v>1+584,377933382978i</v>
      </c>
      <c r="BA463">
        <f t="shared" si="397"/>
        <v>584.37878899302996</v>
      </c>
      <c r="BB463">
        <f t="shared" si="398"/>
        <v>1.5690851071084861</v>
      </c>
      <c r="BC463" s="41" t="str">
        <f t="shared" si="399"/>
        <v>-0,0220446217434834+0,283451144065191i</v>
      </c>
      <c r="BD463">
        <f t="shared" si="400"/>
        <v>-10.924246465200135</v>
      </c>
      <c r="BE463" s="43">
        <f t="shared" si="401"/>
        <v>94.447067726352628</v>
      </c>
      <c r="BF463" s="41" t="str">
        <f t="shared" si="402"/>
        <v>0,22589657814741-0,221488075567709i</v>
      </c>
      <c r="BG463" s="20">
        <f t="shared" si="403"/>
        <v>-9.9962566213278414</v>
      </c>
      <c r="BH463" s="43">
        <f t="shared" si="404"/>
        <v>-44.435428965427512</v>
      </c>
      <c r="BI463" s="41" t="str">
        <f t="shared" si="409"/>
        <v>0,363954582229279+0,181490764082947i</v>
      </c>
      <c r="BJ463" s="20">
        <f t="shared" si="405"/>
        <v>-7.8145967562998067</v>
      </c>
      <c r="BK463" s="43">
        <f t="shared" si="410"/>
        <v>26.503744959600237</v>
      </c>
      <c r="BL463">
        <f t="shared" si="406"/>
        <v>-9.9962566213278414</v>
      </c>
      <c r="BM463" s="43">
        <f t="shared" si="407"/>
        <v>-44.435428965427512</v>
      </c>
    </row>
    <row r="464" spans="14:65" x14ac:dyDescent="0.25">
      <c r="N464" s="9">
        <v>46</v>
      </c>
      <c r="O464" s="34">
        <f t="shared" si="408"/>
        <v>288403.1503126609</v>
      </c>
      <c r="P464" s="33" t="str">
        <f t="shared" si="360"/>
        <v>54,631621870174</v>
      </c>
      <c r="Q464" s="4" t="str">
        <f t="shared" si="361"/>
        <v>1+8088,99078601994i</v>
      </c>
      <c r="R464" s="4">
        <f t="shared" si="373"/>
        <v>8088.9908478323487</v>
      </c>
      <c r="S464" s="4">
        <f t="shared" si="374"/>
        <v>1.5706727019792233</v>
      </c>
      <c r="T464" s="4" t="str">
        <f t="shared" si="362"/>
        <v>1+27,398807401223i</v>
      </c>
      <c r="U464" s="4">
        <f t="shared" si="375"/>
        <v>27.41705029738451</v>
      </c>
      <c r="V464" s="4">
        <f t="shared" si="376"/>
        <v>1.5343145811940568</v>
      </c>
      <c r="W464" t="str">
        <f t="shared" si="363"/>
        <v>1-7,21092186130178i</v>
      </c>
      <c r="X464" s="4">
        <f t="shared" si="377"/>
        <v>7.2799309124331621</v>
      </c>
      <c r="Y464" s="4">
        <f t="shared" si="378"/>
        <v>-1.4329966928269655</v>
      </c>
      <c r="Z464" t="str">
        <f t="shared" si="364"/>
        <v>0,667294491558929+0,990722341499495i</v>
      </c>
      <c r="AA464" s="4">
        <f t="shared" si="379"/>
        <v>1.1944926523052086</v>
      </c>
      <c r="AB464" s="4">
        <f t="shared" si="380"/>
        <v>0.97804800786390289</v>
      </c>
      <c r="AC464" s="47" t="str">
        <f t="shared" si="381"/>
        <v>-0,867359150292213-0,721993616230012i</v>
      </c>
      <c r="AD464" s="20">
        <f t="shared" si="382"/>
        <v>1.050285074205789</v>
      </c>
      <c r="AE464" s="43">
        <f t="shared" si="383"/>
        <v>-140.22585243898641</v>
      </c>
      <c r="AF464" t="str">
        <f t="shared" si="365"/>
        <v>171,265703090588</v>
      </c>
      <c r="AG464" t="str">
        <f t="shared" si="366"/>
        <v>1+8011,57900315466i</v>
      </c>
      <c r="AH464">
        <f t="shared" si="384"/>
        <v>8011.5790655643304</v>
      </c>
      <c r="AI464">
        <f t="shared" si="385"/>
        <v>1.5706715074559856</v>
      </c>
      <c r="AJ464" t="str">
        <f t="shared" si="367"/>
        <v>1+27,398807401223i</v>
      </c>
      <c r="AK464">
        <f t="shared" si="386"/>
        <v>27.41705029738451</v>
      </c>
      <c r="AL464">
        <f t="shared" si="387"/>
        <v>1.5343145811940568</v>
      </c>
      <c r="AM464" t="str">
        <f t="shared" si="368"/>
        <v>1-2,27817931919535i</v>
      </c>
      <c r="AN464">
        <f t="shared" si="388"/>
        <v>2.4879913605978188</v>
      </c>
      <c r="AO464">
        <f t="shared" si="389"/>
        <v>-1.1571719914179541</v>
      </c>
      <c r="AP464" s="41" t="str">
        <f t="shared" si="390"/>
        <v>0,537179711450652-1,35566663309225i</v>
      </c>
      <c r="AQ464">
        <f t="shared" si="391"/>
        <v>3.2764375092068985</v>
      </c>
      <c r="AR464" s="43">
        <f t="shared" si="392"/>
        <v>-68.384169709874271</v>
      </c>
      <c r="AS464" t="str">
        <f t="shared" si="369"/>
        <v>-0,0000166666666666667</v>
      </c>
      <c r="AT464" t="str">
        <f t="shared" si="370"/>
        <v>0,00277793463929066i</v>
      </c>
      <c r="AU464">
        <f t="shared" si="393"/>
        <v>2.77793463929066E-3</v>
      </c>
      <c r="AV464">
        <f t="shared" si="394"/>
        <v>1.5707963267948966</v>
      </c>
      <c r="AW464" t="str">
        <f t="shared" si="371"/>
        <v>1+12,8725798137327i</v>
      </c>
      <c r="AX464">
        <f t="shared" si="395"/>
        <v>12.911363640643021</v>
      </c>
      <c r="AY464">
        <f t="shared" si="396"/>
        <v>1.4932675299511544</v>
      </c>
      <c r="AZ464" t="str">
        <f t="shared" si="372"/>
        <v>1+597,989844074311i</v>
      </c>
      <c r="BA464">
        <f t="shared" si="397"/>
        <v>597.99068020832794</v>
      </c>
      <c r="BB464">
        <f t="shared" si="398"/>
        <v>1.569124059150639</v>
      </c>
      <c r="BC464" s="41" t="str">
        <f t="shared" si="399"/>
        <v>-0,0210584020465912+0,277075622292682i</v>
      </c>
      <c r="BD464">
        <f t="shared" si="400"/>
        <v>-11.123019420942956</v>
      </c>
      <c r="BE464" s="43">
        <f t="shared" si="401"/>
        <v>94.346258971641348</v>
      </c>
      <c r="BF464" s="41" t="str">
        <f t="shared" si="402"/>
        <v>0,218312028213918-0,225120044472823i</v>
      </c>
      <c r="BG464" s="20">
        <f t="shared" si="403"/>
        <v>-10.072734346737157</v>
      </c>
      <c r="BH464" s="43">
        <f t="shared" si="404"/>
        <v>-45.879593467345011</v>
      </c>
      <c r="BI464" s="41" t="str">
        <f t="shared" si="409"/>
        <v>0,36431002965046+0,177387575833998i</v>
      </c>
      <c r="BJ464" s="20">
        <f t="shared" si="405"/>
        <v>-7.8465819117360693</v>
      </c>
      <c r="BK464" s="43">
        <f t="shared" si="410"/>
        <v>25.962089261767112</v>
      </c>
      <c r="BL464">
        <f t="shared" si="406"/>
        <v>-10.072734346737157</v>
      </c>
      <c r="BM464" s="43">
        <f t="shared" si="407"/>
        <v>-45.879593467345011</v>
      </c>
    </row>
    <row r="465" spans="14:65" x14ac:dyDescent="0.25">
      <c r="N465" s="9">
        <v>47</v>
      </c>
      <c r="O465" s="34">
        <f t="shared" si="408"/>
        <v>295120.92266663886</v>
      </c>
      <c r="P465" s="33" t="str">
        <f t="shared" si="360"/>
        <v>54,631621870174</v>
      </c>
      <c r="Q465" s="4" t="str">
        <f t="shared" si="361"/>
        <v>1+8277,40758595779i</v>
      </c>
      <c r="R465" s="4">
        <f t="shared" si="373"/>
        <v>8277.4076463631754</v>
      </c>
      <c r="S465" s="4">
        <f t="shared" si="374"/>
        <v>1.570675516023559</v>
      </c>
      <c r="T465" s="4" t="str">
        <f t="shared" si="362"/>
        <v>1+28,0370076105215i</v>
      </c>
      <c r="U465" s="4">
        <f t="shared" si="375"/>
        <v>28.054835514621015</v>
      </c>
      <c r="V465" s="4">
        <f t="shared" si="376"/>
        <v>1.5351442954203238</v>
      </c>
      <c r="W465" t="str">
        <f t="shared" si="363"/>
        <v>1-7,3788858085542i</v>
      </c>
      <c r="X465" s="4">
        <f t="shared" si="377"/>
        <v>7.4463384139913069</v>
      </c>
      <c r="Y465" s="4">
        <f t="shared" si="378"/>
        <v>-1.4360951588605206</v>
      </c>
      <c r="Z465" t="str">
        <f t="shared" si="364"/>
        <v>0,651614564017566+1,01379922935241i</v>
      </c>
      <c r="AA465" s="4">
        <f t="shared" si="379"/>
        <v>1.2051516159700997</v>
      </c>
      <c r="AB465" s="4">
        <f t="shared" si="380"/>
        <v>0.99953807669923078</v>
      </c>
      <c r="AC465" s="47" t="str">
        <f t="shared" si="381"/>
        <v>-0,89645486271027-0,710845115090461i</v>
      </c>
      <c r="AD465" s="20">
        <f t="shared" si="382"/>
        <v>1.1691711790229329</v>
      </c>
      <c r="AE465" s="43">
        <f t="shared" si="383"/>
        <v>-141.58729382088046</v>
      </c>
      <c r="AF465" t="str">
        <f t="shared" si="365"/>
        <v>171,265703090588</v>
      </c>
      <c r="AG465" t="str">
        <f t="shared" si="366"/>
        <v>1+8198,19265103179i</v>
      </c>
      <c r="AH465">
        <f t="shared" si="384"/>
        <v>8198.192712020842</v>
      </c>
      <c r="AI465">
        <f t="shared" si="385"/>
        <v>1.5706743486909893</v>
      </c>
      <c r="AJ465" t="str">
        <f t="shared" si="367"/>
        <v>1+28,0370076105215i</v>
      </c>
      <c r="AK465">
        <f t="shared" si="386"/>
        <v>28.054835514621015</v>
      </c>
      <c r="AL465">
        <f t="shared" si="387"/>
        <v>1.5351442954203238</v>
      </c>
      <c r="AM465" t="str">
        <f t="shared" si="368"/>
        <v>1-2,33124493249154i</v>
      </c>
      <c r="AN465">
        <f t="shared" si="388"/>
        <v>2.5366716254311443</v>
      </c>
      <c r="AO465">
        <f t="shared" si="389"/>
        <v>-1.1655802330981149</v>
      </c>
      <c r="AP465" s="41" t="str">
        <f t="shared" si="390"/>
        <v>0,537179591734183-1,38626270683698i</v>
      </c>
      <c r="AQ465">
        <f t="shared" si="391"/>
        <v>3.4444851336862254</v>
      </c>
      <c r="AR465" s="43">
        <f t="shared" si="392"/>
        <v>-68.818550138680735</v>
      </c>
      <c r="AS465" t="str">
        <f t="shared" si="369"/>
        <v>-0,0000166666666666667</v>
      </c>
      <c r="AT465" t="str">
        <f t="shared" si="370"/>
        <v>0,00284264104940009i</v>
      </c>
      <c r="AU465">
        <f t="shared" si="393"/>
        <v>2.8426410494000898E-3</v>
      </c>
      <c r="AV465">
        <f t="shared" si="394"/>
        <v>1.5707963267948966</v>
      </c>
      <c r="AW465" t="str">
        <f t="shared" si="371"/>
        <v>1+13,1724207159674i</v>
      </c>
      <c r="AX465">
        <f t="shared" si="395"/>
        <v>13.210324277565904</v>
      </c>
      <c r="AY465">
        <f t="shared" si="396"/>
        <v>1.4950254758614983</v>
      </c>
      <c r="AZ465" t="str">
        <f t="shared" si="372"/>
        <v>1+611,918816896302i</v>
      </c>
      <c r="BA465">
        <f t="shared" si="397"/>
        <v>611.91963399761084</v>
      </c>
      <c r="BB465">
        <f t="shared" si="398"/>
        <v>1.5691621245409666</v>
      </c>
      <c r="BC465" s="41" t="str">
        <f t="shared" si="399"/>
        <v>-0,0201160488618839+0,270840150987761i</v>
      </c>
      <c r="BD465">
        <f t="shared" si="400"/>
        <v>-11.321847278751957</v>
      </c>
      <c r="BE465" s="43">
        <f t="shared" si="401"/>
        <v>94.247717076577658</v>
      </c>
      <c r="BF465" s="41" t="str">
        <f t="shared" si="402"/>
        <v>0,210558528120766-0,228496575301771i</v>
      </c>
      <c r="BG465" s="20">
        <f t="shared" si="403"/>
        <v>-10.152676099729021</v>
      </c>
      <c r="BH465" s="43">
        <f t="shared" si="404"/>
        <v>-47.339576744302825</v>
      </c>
      <c r="BI465" s="41" t="str">
        <f t="shared" si="409"/>
        <v>0,364649669913498+0,17337593007897i</v>
      </c>
      <c r="BJ465" s="20">
        <f t="shared" si="405"/>
        <v>-7.8773621450657361</v>
      </c>
      <c r="BK465" s="43">
        <f t="shared" si="410"/>
        <v>25.42916693789693</v>
      </c>
      <c r="BL465">
        <f t="shared" si="406"/>
        <v>-10.152676099729021</v>
      </c>
      <c r="BM465" s="43">
        <f t="shared" si="407"/>
        <v>-47.339576744302825</v>
      </c>
    </row>
    <row r="466" spans="14:65" x14ac:dyDescent="0.25">
      <c r="N466" s="9">
        <v>48</v>
      </c>
      <c r="O466" s="34">
        <f t="shared" si="408"/>
        <v>301995.17204020242</v>
      </c>
      <c r="P466" s="33" t="str">
        <f t="shared" si="360"/>
        <v>54,631621870174</v>
      </c>
      <c r="Q466" s="4" t="str">
        <f t="shared" si="361"/>
        <v>1+8470,21317696216i</v>
      </c>
      <c r="R466" s="4">
        <f t="shared" si="373"/>
        <v>8470.213235992549</v>
      </c>
      <c r="S466" s="4">
        <f t="shared" si="374"/>
        <v>1.5706782660124272</v>
      </c>
      <c r="T466" s="4" t="str">
        <f t="shared" si="362"/>
        <v>1+28,6900734123688i</v>
      </c>
      <c r="U466" s="4">
        <f t="shared" si="375"/>
        <v>28.707495752975579</v>
      </c>
      <c r="V466" s="4">
        <f t="shared" si="376"/>
        <v>1.5359551705004457</v>
      </c>
      <c r="W466" t="str">
        <f t="shared" si="363"/>
        <v>1-7,55076213873342i</v>
      </c>
      <c r="X466" s="4">
        <f t="shared" si="377"/>
        <v>7.6166927780848628</v>
      </c>
      <c r="Y466" s="4">
        <f t="shared" si="378"/>
        <v>-1.4391256116924771</v>
      </c>
      <c r="Z466" t="str">
        <f t="shared" si="364"/>
        <v>0,635195664257634+1,03741364697595i</v>
      </c>
      <c r="AA466" s="4">
        <f t="shared" si="379"/>
        <v>1.2164294499984938</v>
      </c>
      <c r="AB466" s="4">
        <f t="shared" si="380"/>
        <v>1.02139067638892</v>
      </c>
      <c r="AC466" s="47" t="str">
        <f t="shared" si="381"/>
        <v>-0,925513560595414-0,698268576432542i</v>
      </c>
      <c r="AD466" s="20">
        <f t="shared" si="382"/>
        <v>1.2844914369587734</v>
      </c>
      <c r="AE466" s="43">
        <f t="shared" si="383"/>
        <v>-142.9666855547257</v>
      </c>
      <c r="AF466" t="str">
        <f t="shared" si="365"/>
        <v>171,265703090588</v>
      </c>
      <c r="AG466" t="str">
        <f t="shared" si="366"/>
        <v>1+8389,15308916841i</v>
      </c>
      <c r="AH466">
        <f t="shared" si="384"/>
        <v>8389.1531487691809</v>
      </c>
      <c r="AI466">
        <f t="shared" si="385"/>
        <v>1.5706771252515901</v>
      </c>
      <c r="AJ466" t="str">
        <f t="shared" si="367"/>
        <v>1+28,6900734123688i</v>
      </c>
      <c r="AK466">
        <f t="shared" si="386"/>
        <v>28.707495752975579</v>
      </c>
      <c r="AL466">
        <f t="shared" si="387"/>
        <v>1.5359551705004457</v>
      </c>
      <c r="AM466" t="str">
        <f t="shared" si="368"/>
        <v>1-2,38554660270861i</v>
      </c>
      <c r="AN466">
        <f t="shared" si="388"/>
        <v>2.5866643759279229</v>
      </c>
      <c r="AO466">
        <f t="shared" si="389"/>
        <v>-1.1738561060021879</v>
      </c>
      <c r="AP466" s="41" t="str">
        <f t="shared" si="390"/>
        <v>0,537179477405841-1,41759379541692i</v>
      </c>
      <c r="AQ466">
        <f t="shared" si="391"/>
        <v>3.6137534040310024</v>
      </c>
      <c r="AR466" s="43">
        <f t="shared" si="392"/>
        <v>-69.24642209327159</v>
      </c>
      <c r="AS466" t="str">
        <f t="shared" si="369"/>
        <v>-0,0000166666666666667</v>
      </c>
      <c r="AT466" t="str">
        <f t="shared" si="370"/>
        <v>0,00290885466542073i</v>
      </c>
      <c r="AU466">
        <f t="shared" si="393"/>
        <v>2.90885466542073E-3</v>
      </c>
      <c r="AV466">
        <f t="shared" si="394"/>
        <v>1.5707963267948966</v>
      </c>
      <c r="AW466" t="str">
        <f t="shared" si="371"/>
        <v>1+13,4792458100232i</v>
      </c>
      <c r="AX466">
        <f t="shared" si="395"/>
        <v>13.516288973199263</v>
      </c>
      <c r="AY466">
        <f t="shared" si="396"/>
        <v>1.4967438595556992</v>
      </c>
      <c r="AZ466" t="str">
        <f t="shared" si="372"/>
        <v>1+626,172237174716i</v>
      </c>
      <c r="BA466">
        <f t="shared" si="397"/>
        <v>626.17303567655233</v>
      </c>
      <c r="BB466">
        <f t="shared" si="398"/>
        <v>1.5691993234618009</v>
      </c>
      <c r="BC466" s="41" t="str">
        <f t="shared" si="399"/>
        <v>-0,0192156333007112+0,264741876618537i</v>
      </c>
      <c r="BD466">
        <f t="shared" si="400"/>
        <v>-11.520727595977851</v>
      </c>
      <c r="BE466" s="43">
        <f t="shared" si="401"/>
        <v>94.151392284482085</v>
      </c>
      <c r="BF466" s="41" t="str">
        <f t="shared" si="402"/>
        <v>0,202645262503743-0,231604523957797i</v>
      </c>
      <c r="BG466" s="20">
        <f t="shared" si="403"/>
        <v>-10.236236159019063</v>
      </c>
      <c r="BH466" s="43">
        <f t="shared" si="404"/>
        <v>-48.8152932702436</v>
      </c>
      <c r="BI466" s="41" t="str">
        <f t="shared" si="409"/>
        <v>0,364974197826971+0,169453865471482i</v>
      </c>
      <c r="BJ466" s="20">
        <f t="shared" si="405"/>
        <v>-7.9069741919468619</v>
      </c>
      <c r="BK466" s="43">
        <f t="shared" si="410"/>
        <v>24.904970191210502</v>
      </c>
      <c r="BL466">
        <f t="shared" si="406"/>
        <v>-10.236236159019063</v>
      </c>
      <c r="BM466" s="43">
        <f t="shared" si="407"/>
        <v>-48.8152932702436</v>
      </c>
    </row>
    <row r="467" spans="14:65" x14ac:dyDescent="0.25">
      <c r="N467" s="9">
        <v>49</v>
      </c>
      <c r="O467" s="34">
        <f t="shared" si="408"/>
        <v>309029.54325135931</v>
      </c>
      <c r="P467" s="33" t="str">
        <f t="shared" ref="P467:P530" si="411">COMPLEX(Adc,0)</f>
        <v>54,631621870174</v>
      </c>
      <c r="Q467" s="4" t="str">
        <f t="shared" ref="Q467:Q530" si="412">IMSUM(COMPLEX(1,0),IMDIV(COMPLEX(0,2*PI()*O467),COMPLEX(wp_lf,0)))</f>
        <v>1+8667,50978710947i</v>
      </c>
      <c r="R467" s="4">
        <f t="shared" si="373"/>
        <v>8667.5098447961645</v>
      </c>
      <c r="S467" s="4">
        <f t="shared" si="374"/>
        <v>1.5706809534039083</v>
      </c>
      <c r="T467" s="4" t="str">
        <f t="shared" ref="T467:T530" si="413">IMSUM(COMPLEX(1,0),IMDIV(COMPLEX(0,2*PI()*O467),COMPLEX(wz_esr,0)))</f>
        <v>1+29,3583510708974i</v>
      </c>
      <c r="U467" s="4">
        <f t="shared" si="375"/>
        <v>29.375377063146995</v>
      </c>
      <c r="V467" s="4">
        <f t="shared" si="376"/>
        <v>1.5367476321033648</v>
      </c>
      <c r="W467" t="str">
        <f t="shared" ref="W467:W530" si="414">IMSUB(COMPLEX(1,0),IMDIV(COMPLEX(0,2*PI()*O467),COMPLEX(wz_rhp,0)))</f>
        <v>1-7,72664198294474i</v>
      </c>
      <c r="X467" s="4">
        <f t="shared" si="377"/>
        <v>7.7910844131355823</v>
      </c>
      <c r="Y467" s="4">
        <f t="shared" si="378"/>
        <v>-1.4420894353465523</v>
      </c>
      <c r="Z467" t="str">
        <f t="shared" ref="Z467:Z530" si="415">IMSUM(COMPLEX(1,0),IMDIV(COMPLEX(0,2*PI()*O467),COMPLEX(Q*(wsl/2),0)),IMDIV(IMPOWER(COMPLEX(0,2*PI()*O467),2),IMPOWER(COMPLEX(wsl/2,0),2)))</f>
        <v>0,618002965591424+1,06157811504691i</v>
      </c>
      <c r="AA467" s="4">
        <f t="shared" si="379"/>
        <v>1.2283630407279214</v>
      </c>
      <c r="AB467" s="4">
        <f t="shared" si="380"/>
        <v>1.0436015297709351</v>
      </c>
      <c r="AC467" s="47" t="str">
        <f t="shared" si="381"/>
        <v>-0,954448203344851-0,684229380045011i</v>
      </c>
      <c r="AD467" s="20">
        <f t="shared" si="382"/>
        <v>1.3960873810550938</v>
      </c>
      <c r="AE467" s="43">
        <f t="shared" si="383"/>
        <v>-144.36383757041489</v>
      </c>
      <c r="AF467" t="str">
        <f t="shared" ref="AF467:AF530" si="416">COMPLEX($B$72,0)</f>
        <v>171,265703090588</v>
      </c>
      <c r="AG467" t="str">
        <f t="shared" ref="AG467:AG530" si="417">IMSUM(COMPLEX(1,0),IMDIV(COMPLEX(0,2*PI()*O467),COMPLEX(wp_lf_DCM,0)))</f>
        <v>1+8584,56156731646i</v>
      </c>
      <c r="AH467">
        <f t="shared" si="384"/>
        <v>8584.561625560551</v>
      </c>
      <c r="AI467">
        <f t="shared" si="385"/>
        <v>1.5706798386099572</v>
      </c>
      <c r="AJ467" t="str">
        <f t="shared" ref="AJ467:AJ530" si="418">IMSUM(COMPLEX(1,0),IMDIV(COMPLEX(0,2*PI()*O467),COMPLEX(wz1_dcm,0)))</f>
        <v>1+29,3583510708974i</v>
      </c>
      <c r="AK467">
        <f t="shared" si="386"/>
        <v>29.375377063146995</v>
      </c>
      <c r="AL467">
        <f t="shared" si="387"/>
        <v>1.5367476321033648</v>
      </c>
      <c r="AM467" t="str">
        <f t="shared" ref="AM467:AM530" si="419">IMSUB(COMPLEX(1,0),IMDIV(COMPLEX(0,2*PI()*O467),COMPLEX(wz2_dcm,0)))</f>
        <v>1-2,44111312131088i</v>
      </c>
      <c r="AN467">
        <f t="shared" si="388"/>
        <v>2.6379979664579252</v>
      </c>
      <c r="AO467">
        <f t="shared" si="389"/>
        <v>-1.1819994625350658</v>
      </c>
      <c r="AP467" s="41" t="str">
        <f t="shared" si="390"/>
        <v>0,537179368223126-1,44967651099004i</v>
      </c>
      <c r="AQ467">
        <f t="shared" si="391"/>
        <v>3.7842037104695505</v>
      </c>
      <c r="AR467" s="43">
        <f t="shared" si="392"/>
        <v>-69.667752812385103</v>
      </c>
      <c r="AS467" t="str">
        <f t="shared" ref="AS467:AS530" si="420">COMPLEX(Adc_ea,0)</f>
        <v>-0,0000166666666666667</v>
      </c>
      <c r="AT467" t="str">
        <f t="shared" ref="AT467:AT530" si="421">COMPLEX(0,2*PI()*O467*wp0_ea)</f>
        <v>0,0029766105946882i</v>
      </c>
      <c r="AU467">
        <f t="shared" si="393"/>
        <v>2.9766105946881999E-3</v>
      </c>
      <c r="AV467">
        <f t="shared" si="394"/>
        <v>1.5707963267948966</v>
      </c>
      <c r="AW467" t="str">
        <f t="shared" ref="AW467:AW530" si="422">IMSUM(COMPLEX(1,0),IMDIV(COMPLEX(0,2*PI()*O467),COMPLEX(wp1_ea,0)))</f>
        <v>1+13,7932177786265i</v>
      </c>
      <c r="AX467">
        <f t="shared" si="395"/>
        <v>13.829419969348612</v>
      </c>
      <c r="AY467">
        <f t="shared" si="396"/>
        <v>1.4984235515278865</v>
      </c>
      <c r="AZ467" t="str">
        <f t="shared" ref="AZ467:AZ530" si="423">IMSUM(COMPLEX(1,0),IMDIV(COMPLEX(0,2*PI()*O467),COMPLEX(wz_ea,0)))</f>
        <v>1+640,757662261649i</v>
      </c>
      <c r="BA467">
        <f t="shared" si="397"/>
        <v>640.75844258738687</v>
      </c>
      <c r="BB467">
        <f t="shared" si="398"/>
        <v>1.5692356756360906</v>
      </c>
      <c r="BC467" s="41" t="str">
        <f t="shared" si="399"/>
        <v>-0,0183553093407347+0,258777988747416i</v>
      </c>
      <c r="BD467">
        <f t="shared" si="400"/>
        <v>-11.719658037434757</v>
      </c>
      <c r="BE467" s="43">
        <f t="shared" si="401"/>
        <v>94.05723584975668</v>
      </c>
      <c r="BF467" s="41" t="str">
        <f t="shared" si="402"/>
        <v>0,194582694832042-0,23443094449442i</v>
      </c>
      <c r="BG467" s="20">
        <f t="shared" si="403"/>
        <v>-10.323570656379671</v>
      </c>
      <c r="BH467" s="43">
        <f t="shared" si="404"/>
        <v>-50.306601720658279</v>
      </c>
      <c r="BI467" s="41" t="str">
        <f t="shared" si="409"/>
        <v>0,365284278373178+0,165619457308607i</v>
      </c>
      <c r="BJ467" s="20">
        <f t="shared" si="405"/>
        <v>-7.9354543269652087</v>
      </c>
      <c r="BK467" s="43">
        <f t="shared" si="410"/>
        <v>24.389483037371523</v>
      </c>
      <c r="BL467">
        <f t="shared" si="406"/>
        <v>-10.323570656379671</v>
      </c>
      <c r="BM467" s="43">
        <f t="shared" si="407"/>
        <v>-50.306601720658279</v>
      </c>
    </row>
    <row r="468" spans="14:65" x14ac:dyDescent="0.25">
      <c r="N468" s="9">
        <v>50</v>
      </c>
      <c r="O468" s="34">
        <f t="shared" si="408"/>
        <v>316227.7660168382</v>
      </c>
      <c r="P468" s="33" t="str">
        <f t="shared" si="411"/>
        <v>54,631621870174</v>
      </c>
      <c r="Q468" s="4" t="str">
        <f t="shared" si="412"/>
        <v>1+8869,40202567396i</v>
      </c>
      <c r="R468" s="4">
        <f t="shared" ref="R468:R531" si="424">IMABS(Q468)</f>
        <v>8869.4020820475471</v>
      </c>
      <c r="S468" s="4">
        <f t="shared" ref="S468:S531" si="425">IMARGUMENT(Q468)</f>
        <v>1.5706835796228924</v>
      </c>
      <c r="T468" s="4" t="str">
        <f t="shared" si="413"/>
        <v>1+30,0421949157674i</v>
      </c>
      <c r="U468" s="4">
        <f t="shared" ref="U468:U531" si="426">IMABS(T468)</f>
        <v>30.058833566140926</v>
      </c>
      <c r="V468" s="4">
        <f t="shared" ref="V468:V531" si="427">IMARGUMENT(T468)</f>
        <v>1.5375220964191394</v>
      </c>
      <c r="W468" t="str">
        <f t="shared" si="414"/>
        <v>1-7,90661859500961i</v>
      </c>
      <c r="X468" s="4">
        <f t="shared" ref="X468:X531" si="428">IMABS(W468)</f>
        <v>7.9696058627106368</v>
      </c>
      <c r="Y468" s="4">
        <f t="shared" ref="Y468:Y531" si="429">IMARGUMENT(W468)</f>
        <v>-1.444987992891019</v>
      </c>
      <c r="Z468" t="str">
        <f t="shared" si="415"/>
        <v>0,6+1,08630544588611i</v>
      </c>
      <c r="AA468" s="4">
        <f t="shared" ref="AA468:AA531" si="430">IMABS(Z468)</f>
        <v>1.2409913463686282</v>
      </c>
      <c r="AB468" s="4">
        <f t="shared" ref="AB468:AB531" si="431">IMARGUMENT(Z468)</f>
        <v>1.0661653644518889</v>
      </c>
      <c r="AC468" s="47" t="str">
        <f t="shared" ref="AC468:AC531" si="432">(IMDIV(IMPRODUCT(P468,T468,W468),IMPRODUCT(Q468,Z468)))</f>
        <v>-0,983166334998576-0,668698556616601i</v>
      </c>
      <c r="AD468" s="20">
        <f t="shared" ref="AD468:AD531" si="433">20*LOG(IMABS(AC468))</f>
        <v>1.5037992965406113</v>
      </c>
      <c r="AE468" s="43">
        <f t="shared" ref="AE468:AE531" si="434">(180/PI())*IMARGUMENT(AC468)</f>
        <v>-145.77850211582466</v>
      </c>
      <c r="AF468" t="str">
        <f t="shared" si="416"/>
        <v>171,265703090588</v>
      </c>
      <c r="AG468" t="str">
        <f t="shared" si="417"/>
        <v>1+8784,52169363761i</v>
      </c>
      <c r="AH468">
        <f t="shared" ref="AH468:AH531" si="435">IMABS(AG468)</f>
        <v>8784.5217505559031</v>
      </c>
      <c r="AI468">
        <f t="shared" ref="AI468:AI531" si="436">IMARGUMENT(AG468)</f>
        <v>1.5706824902047491</v>
      </c>
      <c r="AJ468" t="str">
        <f t="shared" si="418"/>
        <v>1+30,0421949157674i</v>
      </c>
      <c r="AK468">
        <f t="shared" ref="AK468:AK531" si="437">IMABS(AJ468)</f>
        <v>30.058833566140926</v>
      </c>
      <c r="AL468">
        <f t="shared" ref="AL468:AL531" si="438">IMARGUMENT(AJ468)</f>
        <v>1.5375220964191394</v>
      </c>
      <c r="AM468" t="str">
        <f t="shared" si="419"/>
        <v>1-2,49797395040202i</v>
      </c>
      <c r="AN468">
        <f t="shared" ref="AN468:AN531" si="439">IMABS(AM468)</f>
        <v>2.6907013689532837</v>
      </c>
      <c r="AO468">
        <f t="shared" ref="AO468:AO531" si="440">IMARGUMENT(AM468)</f>
        <v>-1.1900102991984571</v>
      </c>
      <c r="AP468" s="41" t="str">
        <f t="shared" ref="AP468:AP531" si="441">(IMDIV(IMPRODUCT(AF468,AJ468,AM468),IMPRODUCT(AG468)))</f>
        <v>0,537179263954439-1,48252786423686i</v>
      </c>
      <c r="AQ468">
        <f t="shared" ref="AQ468:AQ531" si="442">20*LOG(IMABS(AP468))</f>
        <v>3.9557980551383833</v>
      </c>
      <c r="AR468" s="43">
        <f t="shared" ref="AR468:AR531" si="443">(180/PI())*IMARGUMENT(AP468)</f>
        <v>-70.082518332079175</v>
      </c>
      <c r="AS468" t="str">
        <f t="shared" si="420"/>
        <v>-0,0000166666666666667</v>
      </c>
      <c r="AT468" t="str">
        <f t="shared" si="421"/>
        <v>0,00304594476229309i</v>
      </c>
      <c r="AU468">
        <f t="shared" ref="AU468:AU531" si="444">IMABS(AT468)</f>
        <v>3.0459447622930898E-3</v>
      </c>
      <c r="AV468">
        <f t="shared" ref="AV468:AV531" si="445">IMARGUMENT(AT468)</f>
        <v>1.5707963267948966</v>
      </c>
      <c r="AW468" t="str">
        <f t="shared" si="422"/>
        <v>1+14,1145030938708i</v>
      </c>
      <c r="AX468">
        <f t="shared" ref="AX468:AX531" si="446">IMABS(AW468)</f>
        <v>14.149883306476006</v>
      </c>
      <c r="AY468">
        <f t="shared" ref="AY468:AY531" si="447">IMARGUMENT(AW468)</f>
        <v>1.5000654044395361</v>
      </c>
      <c r="AZ468" t="str">
        <f t="shared" si="423"/>
        <v>1+655,682825542543i</v>
      </c>
      <c r="BA468">
        <f t="shared" ref="BA468:BA531" si="448">IMABS(AZ468)</f>
        <v>655.6835881059194</v>
      </c>
      <c r="BB468">
        <f t="shared" ref="BB468:BB531" si="449">IMARGUMENT(AZ468)</f>
        <v>1.5692712003378546</v>
      </c>
      <c r="BC468" s="41" t="str">
        <f t="shared" ref="BC468:BC531" si="450">IMPRODUCT(AS468,IMDIV(AZ468,IMPRODUCT(AT468,AW468)))</f>
        <v>-0,0175333104374037+0,252945720459812i</v>
      </c>
      <c r="BD468">
        <f t="shared" ref="BD468:BD531" si="451">20*LOG(IMABS(BC468))</f>
        <v>-11.918636370778231</v>
      </c>
      <c r="BE468" s="43">
        <f t="shared" ref="BE468:BE531" si="452">(180/PI())*IMARGUMENT(BC468)</f>
        <v>93.965200022817442</v>
      </c>
      <c r="BF468" s="41" t="str">
        <f t="shared" ref="BF468:BF531" si="453">IMPRODUCT(AC468,BC468)</f>
        <v>0,186382598736957-0,236963217555845i</v>
      </c>
      <c r="BG468" s="20">
        <f t="shared" ref="BG468:BG531" si="454">20*LOG(IMABS(BF468))</f>
        <v>-10.414837074237619</v>
      </c>
      <c r="BH468" s="43">
        <f t="shared" ref="BH468:BH531" si="455">(180/PI())*IMARGUMENT(BF468)</f>
        <v>-51.813302093007238</v>
      </c>
      <c r="BI468" s="41" t="str">
        <f t="shared" si="409"/>
        <v>0,36558054792569+0,161870817212793i</v>
      </c>
      <c r="BJ468" s="20">
        <f t="shared" ref="BJ468:BJ531" si="456">20*LOG(IMABS(BI468))</f>
        <v>-7.9628383156398428</v>
      </c>
      <c r="BK468" s="43">
        <f t="shared" si="410"/>
        <v>23.882681690738227</v>
      </c>
      <c r="BL468">
        <f t="shared" ref="BL468:BL531" si="457">IF($B$31=0,BJ468,BG468)</f>
        <v>-10.414837074237619</v>
      </c>
      <c r="BM468" s="43">
        <f t="shared" ref="BM468:BM531" si="458">IF($B$31=0,BK468,BH468)</f>
        <v>-51.813302093007238</v>
      </c>
    </row>
    <row r="469" spans="14:65" x14ac:dyDescent="0.25">
      <c r="N469" s="9">
        <v>51</v>
      </c>
      <c r="O469" s="34">
        <f t="shared" si="408"/>
        <v>323593.65692962846</v>
      </c>
      <c r="P469" s="33" t="str">
        <f t="shared" si="411"/>
        <v>54,631621870174</v>
      </c>
      <c r="Q469" s="4" t="str">
        <f t="shared" si="412"/>
        <v>1+9075,99693859288i</v>
      </c>
      <c r="R469" s="4">
        <f t="shared" si="424"/>
        <v>9075.9969936832458</v>
      </c>
      <c r="S469" s="4">
        <f t="shared" si="425"/>
        <v>1.5706861460618355</v>
      </c>
      <c r="T469" s="4" t="str">
        <f t="shared" si="413"/>
        <v>1+30,7419675300373i</v>
      </c>
      <c r="U469" s="4">
        <f t="shared" si="426"/>
        <v>30.758227641037248</v>
      </c>
      <c r="V469" s="4">
        <f t="shared" si="427"/>
        <v>1.5382789703607189</v>
      </c>
      <c r="W469" t="str">
        <f t="shared" si="414"/>
        <v>1-8,09078740091003i</v>
      </c>
      <c r="X469" s="4">
        <f t="shared" si="428"/>
        <v>8.1523518549388232</v>
      </c>
      <c r="Y469" s="4">
        <f t="shared" si="429"/>
        <v>-1.4478226262547205</v>
      </c>
      <c r="Z469" t="str">
        <f t="shared" si="415"/>
        <v>0,58114858077964+1,11160875025168i</v>
      </c>
      <c r="AA469" s="4">
        <f t="shared" si="430"/>
        <v>1.2543554865261648</v>
      </c>
      <c r="AB469" s="4">
        <f t="shared" si="431"/>
        <v>1.0890758660452673</v>
      </c>
      <c r="AC469" s="47" t="str">
        <f t="shared" si="432"/>
        <v>-1,01157042032411-0,651653529623018i</v>
      </c>
      <c r="AD469" s="20">
        <f t="shared" si="433"/>
        <v>1.6074667801009299</v>
      </c>
      <c r="AE469" s="43">
        <f t="shared" si="434"/>
        <v>-147.21037105550383</v>
      </c>
      <c r="AF469" t="str">
        <f t="shared" si="416"/>
        <v>171,265703090588</v>
      </c>
      <c r="AG469" t="str">
        <f t="shared" si="417"/>
        <v>1+8989,13948963762i</v>
      </c>
      <c r="AH469">
        <f t="shared" si="435"/>
        <v>8989.1395452602974</v>
      </c>
      <c r="AI469">
        <f t="shared" si="436"/>
        <v>1.5706850814418762</v>
      </c>
      <c r="AJ469" t="str">
        <f t="shared" si="418"/>
        <v>1+30,7419675300373i</v>
      </c>
      <c r="AK469">
        <f t="shared" si="437"/>
        <v>30.758227641037248</v>
      </c>
      <c r="AL469">
        <f t="shared" si="438"/>
        <v>1.5382789703607189</v>
      </c>
      <c r="AM469" t="str">
        <f t="shared" si="419"/>
        <v>1-2,55615923834626i</v>
      </c>
      <c r="AN469">
        <f t="shared" si="439"/>
        <v>2.7448041918838095</v>
      </c>
      <c r="AO469">
        <f t="shared" si="440"/>
        <v>-1.1978887497339641</v>
      </c>
      <c r="AP469" s="41" t="str">
        <f t="shared" si="441"/>
        <v>0,537179164378618-1,51616527337982i</v>
      </c>
      <c r="AQ469">
        <f t="shared" si="442"/>
        <v>4.1284990909039134</v>
      </c>
      <c r="AR469" s="43">
        <f t="shared" si="443"/>
        <v>-70.490703081341493</v>
      </c>
      <c r="AS469" t="str">
        <f t="shared" si="420"/>
        <v>-0,0000166666666666667</v>
      </c>
      <c r="AT469" t="str">
        <f t="shared" si="421"/>
        <v>0,00311689393012878i</v>
      </c>
      <c r="AU469">
        <f t="shared" si="444"/>
        <v>3.1168939301287799E-3</v>
      </c>
      <c r="AV469">
        <f t="shared" si="445"/>
        <v>1.5707963267948966</v>
      </c>
      <c r="AW469" t="str">
        <f t="shared" si="422"/>
        <v>1+14,443272105483i</v>
      </c>
      <c r="AX469">
        <f t="shared" si="446"/>
        <v>14.477848911803971</v>
      </c>
      <c r="AY469">
        <f t="shared" si="447"/>
        <v>1.501670253395637</v>
      </c>
      <c r="AZ469" t="str">
        <f t="shared" si="423"/>
        <v>1+670,955640536528i</v>
      </c>
      <c r="BA469">
        <f t="shared" si="448"/>
        <v>670.95638574186216</v>
      </c>
      <c r="BB469">
        <f t="shared" si="449"/>
        <v>1.5693059164024015</v>
      </c>
      <c r="BC469" s="41" t="str">
        <f t="shared" si="450"/>
        <v>-0,0167479462587294+0,247242348694272i</v>
      </c>
      <c r="BD469">
        <f t="shared" si="451"/>
        <v>-12.117660462073477</v>
      </c>
      <c r="BE469" s="43">
        <f t="shared" si="452"/>
        <v>93.875238034856721</v>
      </c>
      <c r="BF469" s="41" t="str">
        <f t="shared" si="453"/>
        <v>0,178058076235416-0,239189188297147i</v>
      </c>
      <c r="BG469" s="20">
        <f t="shared" si="454"/>
        <v>-10.510193681972551</v>
      </c>
      <c r="BH469" s="43">
        <f t="shared" si="455"/>
        <v>-53.335133020647042</v>
      </c>
      <c r="BI469" s="41" t="str">
        <f t="shared" si="409"/>
        <v>0,365863615422797+0,158206092788513i</v>
      </c>
      <c r="BJ469" s="20">
        <f t="shared" si="456"/>
        <v>-7.9891613711695708</v>
      </c>
      <c r="BK469" s="43">
        <f t="shared" si="410"/>
        <v>23.384534953515278</v>
      </c>
      <c r="BL469">
        <f t="shared" si="457"/>
        <v>-10.510193681972551</v>
      </c>
      <c r="BM469" s="43">
        <f t="shared" si="458"/>
        <v>-53.335133020647042</v>
      </c>
    </row>
    <row r="470" spans="14:65" x14ac:dyDescent="0.25">
      <c r="N470" s="9">
        <v>52</v>
      </c>
      <c r="O470" s="34">
        <f t="shared" si="408"/>
        <v>331131.12148259126</v>
      </c>
      <c r="P470" s="33" t="str">
        <f t="shared" si="411"/>
        <v>54,631621870174</v>
      </c>
      <c r="Q470" s="4" t="str">
        <f t="shared" si="412"/>
        <v>1+9287,40406522371i</v>
      </c>
      <c r="R470" s="4">
        <f t="shared" si="424"/>
        <v>9287.4041190600674</v>
      </c>
      <c r="S470" s="4">
        <f t="shared" si="425"/>
        <v>1.5706886540814977</v>
      </c>
      <c r="T470" s="4" t="str">
        <f t="shared" si="413"/>
        <v>1+31,4580399424097i</v>
      </c>
      <c r="U470" s="4">
        <f t="shared" si="426"/>
        <v>31.473930117134152</v>
      </c>
      <c r="V470" s="4">
        <f t="shared" si="427"/>
        <v>1.5390186517620517</v>
      </c>
      <c r="W470" t="str">
        <f t="shared" si="414"/>
        <v>1-8,27924604938468i</v>
      </c>
      <c r="X470" s="4">
        <f t="shared" si="428"/>
        <v>8.3394193530636063</v>
      </c>
      <c r="Y470" s="4">
        <f t="shared" si="429"/>
        <v>-1.4505946560868823</v>
      </c>
      <c r="Z470" t="str">
        <f t="shared" si="415"/>
        <v>0,561408721542723+1,13750144429052i</v>
      </c>
      <c r="AA470" s="4">
        <f t="shared" si="430"/>
        <v>1.2684988326314115</v>
      </c>
      <c r="AB470" s="4">
        <f t="shared" si="431"/>
        <v>1.1123256356902831</v>
      </c>
      <c r="AC470" s="47" t="str">
        <f t="shared" si="432"/>
        <v>-1,03955828232884-0,633078851567327i</v>
      </c>
      <c r="AD470" s="20">
        <f t="shared" si="433"/>
        <v>1.7069293602762323</v>
      </c>
      <c r="AE470" s="43">
        <f t="shared" si="434"/>
        <v>-148.65907341734285</v>
      </c>
      <c r="AF470" t="str">
        <f t="shared" si="416"/>
        <v>171,265703090588</v>
      </c>
      <c r="AG470" t="str">
        <f t="shared" si="417"/>
        <v>1+9198,52344638041i</v>
      </c>
      <c r="AH470">
        <f t="shared" si="435"/>
        <v>9198.5235007369592</v>
      </c>
      <c r="AI470">
        <f t="shared" si="436"/>
        <v>1.5706876136952466</v>
      </c>
      <c r="AJ470" t="str">
        <f t="shared" si="418"/>
        <v>1+31,4580399424097i</v>
      </c>
      <c r="AK470">
        <f t="shared" si="437"/>
        <v>31.473930117134152</v>
      </c>
      <c r="AL470">
        <f t="shared" si="438"/>
        <v>1.5390186517620517</v>
      </c>
      <c r="AM470" t="str">
        <f t="shared" si="419"/>
        <v>1-2,61569983575344i</v>
      </c>
      <c r="AN470">
        <f t="shared" si="439"/>
        <v>2.8003366995346424</v>
      </c>
      <c r="AO470">
        <f t="shared" si="440"/>
        <v>-1.2056350782453413</v>
      </c>
      <c r="AP470" s="41" t="str">
        <f t="shared" si="441"/>
        <v>0,537179069284444-1,55060657341854i</v>
      </c>
      <c r="AQ470">
        <f t="shared" si="442"/>
        <v>4.3022701557757506</v>
      </c>
      <c r="AR470" s="43">
        <f t="shared" si="443"/>
        <v>-70.892299476715337</v>
      </c>
      <c r="AS470" t="str">
        <f t="shared" si="420"/>
        <v>-0,0000166666666666667</v>
      </c>
      <c r="AT470" t="str">
        <f t="shared" si="421"/>
        <v>0,0031894957163832i</v>
      </c>
      <c r="AU470">
        <f t="shared" si="444"/>
        <v>3.1894957163831998E-3</v>
      </c>
      <c r="AV470">
        <f t="shared" si="445"/>
        <v>1.5707963267948966</v>
      </c>
      <c r="AW470" t="str">
        <f t="shared" si="422"/>
        <v>1+14,7796991311449i</v>
      </c>
      <c r="AX470">
        <f t="shared" si="446"/>
        <v>14.813490689475096</v>
      </c>
      <c r="AY470">
        <f t="shared" si="447"/>
        <v>1.5032389162229545</v>
      </c>
      <c r="AZ470" t="str">
        <f t="shared" si="423"/>
        <v>1+686,584205092276i</v>
      </c>
      <c r="BA470">
        <f t="shared" si="448"/>
        <v>686.58493333468391</v>
      </c>
      <c r="BB470">
        <f t="shared" si="449"/>
        <v>1.5693398422363132</v>
      </c>
      <c r="BC470" s="41" t="str">
        <f t="shared" si="450"/>
        <v>-0,0159975995402812+0,241665194481659i</v>
      </c>
      <c r="BD470">
        <f t="shared" si="451"/>
        <v>-12.316728271545625</v>
      </c>
      <c r="BE470" s="43">
        <f t="shared" si="452"/>
        <v>93.787304082471948</v>
      </c>
      <c r="BF470" s="41" t="str">
        <f t="shared" si="453"/>
        <v>0,169623560885723-0,241097312529223i</v>
      </c>
      <c r="BG470" s="20">
        <f t="shared" si="454"/>
        <v>-10.609798911269397</v>
      </c>
      <c r="BH470" s="43">
        <f t="shared" si="455"/>
        <v>-54.871769334870841</v>
      </c>
      <c r="BI470" s="41" t="str">
        <f t="shared" si="409"/>
        <v>0,366134063497897+0,154623467256179i</v>
      </c>
      <c r="BJ470" s="20">
        <f t="shared" si="456"/>
        <v>-8.0144581157698731</v>
      </c>
      <c r="BK470" s="43">
        <f t="shared" si="410"/>
        <v>22.89500460575659</v>
      </c>
      <c r="BL470">
        <f t="shared" si="457"/>
        <v>-10.609798911269397</v>
      </c>
      <c r="BM470" s="43">
        <f t="shared" si="458"/>
        <v>-54.871769334870841</v>
      </c>
    </row>
    <row r="471" spans="14:65" x14ac:dyDescent="0.25">
      <c r="N471" s="9">
        <v>53</v>
      </c>
      <c r="O471" s="34">
        <f t="shared" si="408"/>
        <v>338844.15613920329</v>
      </c>
      <c r="P471" s="33" t="str">
        <f t="shared" si="411"/>
        <v>54,631621870174</v>
      </c>
      <c r="Q471" s="4" t="str">
        <f t="shared" si="412"/>
        <v>1+9503,73549642322i</v>
      </c>
      <c r="R471" s="4">
        <f t="shared" si="424"/>
        <v>9503.7355490341106</v>
      </c>
      <c r="S471" s="4">
        <f t="shared" si="425"/>
        <v>1.5706911050116634</v>
      </c>
      <c r="T471" s="4" t="str">
        <f t="shared" si="413"/>
        <v>1+32,190791823956i</v>
      </c>
      <c r="U471" s="4">
        <f t="shared" si="426"/>
        <v>32.206320470573353</v>
      </c>
      <c r="V471" s="4">
        <f t="shared" si="427"/>
        <v>1.5397415295725494</v>
      </c>
      <c r="W471" t="str">
        <f t="shared" si="414"/>
        <v>1-8,47209446370347i</v>
      </c>
      <c r="X471" s="4">
        <f t="shared" si="428"/>
        <v>8.5309076071608594</v>
      </c>
      <c r="Y471" s="4">
        <f t="shared" si="429"/>
        <v>-1.4533053816575363</v>
      </c>
      <c r="Z471" t="str">
        <f t="shared" si="415"/>
        <v>0,540738551401243+1,16399725665172i</v>
      </c>
      <c r="AA471" s="4">
        <f t="shared" si="430"/>
        <v>1.283467099096913</v>
      </c>
      <c r="AB471" s="4">
        <f t="shared" si="431"/>
        <v>1.1359061528539627</v>
      </c>
      <c r="AC471" s="47" t="str">
        <f t="shared" si="432"/>
        <v>-1,06702364557502-0,612966920379824i</v>
      </c>
      <c r="AD471" s="20">
        <f t="shared" si="433"/>
        <v>1.8020271774828178</v>
      </c>
      <c r="AE471" s="43">
        <f t="shared" si="434"/>
        <v>-150.1241732444833</v>
      </c>
      <c r="AF471" t="str">
        <f t="shared" si="416"/>
        <v>171,265703090588</v>
      </c>
      <c r="AG471" t="str">
        <f t="shared" si="417"/>
        <v>1+9412,78458201129i</v>
      </c>
      <c r="AH471">
        <f t="shared" si="435"/>
        <v>9412.7846351305343</v>
      </c>
      <c r="AI471">
        <f t="shared" si="436"/>
        <v>1.5706900883074941</v>
      </c>
      <c r="AJ471" t="str">
        <f t="shared" si="418"/>
        <v>1+32,190791823956i</v>
      </c>
      <c r="AK471">
        <f t="shared" si="437"/>
        <v>32.206320470573353</v>
      </c>
      <c r="AL471">
        <f t="shared" si="438"/>
        <v>1.5397415295725494</v>
      </c>
      <c r="AM471" t="str">
        <f t="shared" si="419"/>
        <v>1-2,67662731183642i</v>
      </c>
      <c r="AN471">
        <f t="shared" si="439"/>
        <v>2.8573298315855418</v>
      </c>
      <c r="AO471">
        <f t="shared" si="440"/>
        <v>-1.2132496723334538</v>
      </c>
      <c r="AP471" s="41" t="str">
        <f t="shared" si="441"/>
        <v>0,537178978470216-1,58587002558627i</v>
      </c>
      <c r="AQ471">
        <f t="shared" si="442"/>
        <v>4.4770753030748969</v>
      </c>
      <c r="AR471" s="43">
        <f t="shared" si="443"/>
        <v>-71.28730751786199</v>
      </c>
      <c r="AS471" t="str">
        <f t="shared" si="420"/>
        <v>-0,0000166666666666667</v>
      </c>
      <c r="AT471" t="str">
        <f t="shared" si="421"/>
        <v>0,00326378861548442i</v>
      </c>
      <c r="AU471">
        <f t="shared" si="444"/>
        <v>3.26378861548442E-3</v>
      </c>
      <c r="AV471">
        <f t="shared" si="445"/>
        <v>1.5707963267948966</v>
      </c>
      <c r="AW471" t="str">
        <f t="shared" si="422"/>
        <v>1+15,1239625489185i</v>
      </c>
      <c r="AX471">
        <f t="shared" si="446"/>
        <v>15.156986612816196</v>
      </c>
      <c r="AY471">
        <f t="shared" si="447"/>
        <v>1.5047721937498149</v>
      </c>
      <c r="AZ471" t="str">
        <f t="shared" si="423"/>
        <v>1+702,576805681578i</v>
      </c>
      <c r="BA471">
        <f t="shared" si="448"/>
        <v>702.57751734718192</v>
      </c>
      <c r="BB471">
        <f t="shared" si="449"/>
        <v>1.5693729958272034</v>
      </c>
      <c r="BC471" s="41" t="str">
        <f t="shared" si="450"/>
        <v>-0,0152807230572571+0,236211623100522i</v>
      </c>
      <c r="BD471">
        <f t="shared" si="451"/>
        <v>-12.515837849505619</v>
      </c>
      <c r="BE471" s="43">
        <f t="shared" si="452"/>
        <v>93.701353312194314</v>
      </c>
      <c r="BF471" s="41" t="str">
        <f t="shared" si="453"/>
        <v>0,161094803993423-0,242676809454328i</v>
      </c>
      <c r="BG471" s="20">
        <f t="shared" si="454"/>
        <v>-10.713810672022802</v>
      </c>
      <c r="BH471" s="43">
        <f t="shared" si="455"/>
        <v>-56.42281993228908</v>
      </c>
      <c r="BI471" s="41" t="str">
        <f t="shared" si="409"/>
        <v>0,366392449568016+0,151121159065719i</v>
      </c>
      <c r="BJ471" s="20">
        <f t="shared" si="456"/>
        <v>-8.0387625464307142</v>
      </c>
      <c r="BK471" s="43">
        <f t="shared" si="410"/>
        <v>22.414045794332289</v>
      </c>
      <c r="BL471">
        <f t="shared" si="457"/>
        <v>-10.713810672022802</v>
      </c>
      <c r="BM471" s="43">
        <f t="shared" si="458"/>
        <v>-56.42281993228908</v>
      </c>
    </row>
    <row r="472" spans="14:65" x14ac:dyDescent="0.25">
      <c r="N472" s="9">
        <v>54</v>
      </c>
      <c r="O472" s="34">
        <f t="shared" si="408"/>
        <v>346736.85045253241</v>
      </c>
      <c r="P472" s="33" t="str">
        <f t="shared" si="411"/>
        <v>54,631621870174</v>
      </c>
      <c r="Q472" s="4" t="str">
        <f t="shared" si="412"/>
        <v>1+9725,10593397974i</v>
      </c>
      <c r="R472" s="4">
        <f t="shared" si="424"/>
        <v>9725.1059853930619</v>
      </c>
      <c r="S472" s="4">
        <f t="shared" si="425"/>
        <v>1.5706935001518487</v>
      </c>
      <c r="T472" s="4" t="str">
        <f t="shared" si="413"/>
        <v>1+32,9406116894228i</v>
      </c>
      <c r="U472" s="4">
        <f t="shared" si="426"/>
        <v>32.955787025548915</v>
      </c>
      <c r="V472" s="4">
        <f t="shared" si="427"/>
        <v>1.5404479840479357</v>
      </c>
      <c r="W472" t="str">
        <f t="shared" si="414"/>
        <v>1-8,66943489464833i</v>
      </c>
      <c r="X472" s="4">
        <f t="shared" si="428"/>
        <v>8.7269182070503035</v>
      </c>
      <c r="Y472" s="4">
        <f t="shared" si="429"/>
        <v>-1.4559560807955649</v>
      </c>
      <c r="Z472" t="str">
        <f t="shared" si="415"/>
        <v>0,51909422615303+1,19111023576573i</v>
      </c>
      <c r="AA472" s="4">
        <f t="shared" si="430"/>
        <v>1.2993084350420059</v>
      </c>
      <c r="AB472" s="4">
        <f t="shared" si="431"/>
        <v>1.1598077444464356</v>
      </c>
      <c r="AC472" s="47" t="str">
        <f t="shared" si="432"/>
        <v>-1,09385678766451-0,591318660298655i</v>
      </c>
      <c r="AD472" s="20">
        <f t="shared" si="433"/>
        <v>1.8926017208801651</v>
      </c>
      <c r="AE472" s="43">
        <f t="shared" si="434"/>
        <v>-151.60516781131182</v>
      </c>
      <c r="AF472" t="str">
        <f t="shared" si="416"/>
        <v>171,265703090588</v>
      </c>
      <c r="AG472" t="str">
        <f t="shared" si="417"/>
        <v>1+9632,03650062048i</v>
      </c>
      <c r="AH472">
        <f t="shared" si="435"/>
        <v>9632.0365525305824</v>
      </c>
      <c r="AI472">
        <f t="shared" si="436"/>
        <v>1.5706925065906914</v>
      </c>
      <c r="AJ472" t="str">
        <f t="shared" si="418"/>
        <v>1+32,9406116894228i</v>
      </c>
      <c r="AK472">
        <f t="shared" si="437"/>
        <v>32.955787025548915</v>
      </c>
      <c r="AL472">
        <f t="shared" si="438"/>
        <v>1.5404479840479357</v>
      </c>
      <c r="AM472" t="str">
        <f t="shared" si="419"/>
        <v>1-2,73897397114948i</v>
      </c>
      <c r="AN472">
        <f t="shared" si="439"/>
        <v>2.9158152229924226</v>
      </c>
      <c r="AO472">
        <f t="shared" si="440"/>
        <v>-1.2207330362745168</v>
      </c>
      <c r="AP472" s="41" t="str">
        <f t="shared" si="441"/>
        <v>0,537178891743301-1,62197432703217i</v>
      </c>
      <c r="AQ472">
        <f t="shared" si="442"/>
        <v>4.6528793275295079</v>
      </c>
      <c r="AR472" s="43">
        <f t="shared" si="443"/>
        <v>-71.67573438580844</v>
      </c>
      <c r="AS472" t="str">
        <f t="shared" si="420"/>
        <v>-0,0000166666666666667</v>
      </c>
      <c r="AT472" t="str">
        <f t="shared" si="421"/>
        <v>0,00333981201851091i</v>
      </c>
      <c r="AU472">
        <f t="shared" si="444"/>
        <v>3.33981201851091E-3</v>
      </c>
      <c r="AV472">
        <f t="shared" si="445"/>
        <v>1.5707963267948966</v>
      </c>
      <c r="AW472" t="str">
        <f t="shared" si="422"/>
        <v>1+15,4762448918249i</v>
      </c>
      <c r="AX472">
        <f t="shared" si="446"/>
        <v>15.50851881875688</v>
      </c>
      <c r="AY472">
        <f t="shared" si="447"/>
        <v>1.5062708700868834</v>
      </c>
      <c r="AZ472" t="str">
        <f t="shared" si="423"/>
        <v>1+718,941921792957i</v>
      </c>
      <c r="BA472">
        <f t="shared" si="448"/>
        <v>718.94261725908996</v>
      </c>
      <c r="BB472">
        <f t="shared" si="449"/>
        <v>1.5694053947532531</v>
      </c>
      <c r="BC472" s="41" t="str">
        <f t="shared" si="450"/>
        <v>-0,0145958367104315+0,230879044155332i</v>
      </c>
      <c r="BD472">
        <f t="shared" si="451"/>
        <v>-12.714987332445503</v>
      </c>
      <c r="BE472" s="43">
        <f t="shared" si="452"/>
        <v>93.617341804947571</v>
      </c>
      <c r="BF472" s="41" t="str">
        <f t="shared" si="453"/>
        <v>0,152488842138313-0,243917818969254i</v>
      </c>
      <c r="BG472" s="20">
        <f t="shared" si="454"/>
        <v>-10.822385611565332</v>
      </c>
      <c r="BH472" s="43">
        <f t="shared" si="455"/>
        <v>-57.987826006364301</v>
      </c>
      <c r="BI472" s="41" t="str">
        <f t="shared" si="409"/>
        <v>0,3666393068815+0,147697421491987i</v>
      </c>
      <c r="BJ472" s="20">
        <f t="shared" si="456"/>
        <v>-8.0621080049159861</v>
      </c>
      <c r="BK472" s="43">
        <f t="shared" si="410"/>
        <v>21.941607419139057</v>
      </c>
      <c r="BL472">
        <f t="shared" si="457"/>
        <v>-10.822385611565332</v>
      </c>
      <c r="BM472" s="43">
        <f t="shared" si="458"/>
        <v>-57.987826006364301</v>
      </c>
    </row>
    <row r="473" spans="14:65" x14ac:dyDescent="0.25">
      <c r="N473" s="9">
        <v>55</v>
      </c>
      <c r="O473" s="34">
        <f t="shared" si="408"/>
        <v>354813.38923357555</v>
      </c>
      <c r="P473" s="33" t="str">
        <f t="shared" si="411"/>
        <v>54,631621870174</v>
      </c>
      <c r="Q473" s="4" t="str">
        <f t="shared" si="412"/>
        <v>1+9951,63275142939i</v>
      </c>
      <c r="R473" s="4">
        <f t="shared" si="424"/>
        <v>9951.6328016724001</v>
      </c>
      <c r="S473" s="4">
        <f t="shared" si="425"/>
        <v>1.5706958407719884</v>
      </c>
      <c r="T473" s="4" t="str">
        <f t="shared" si="413"/>
        <v>1+33,7078971032276i</v>
      </c>
      <c r="U473" s="4">
        <f t="shared" si="426"/>
        <v>33.722727160207256</v>
      </c>
      <c r="V473" s="4">
        <f t="shared" si="427"/>
        <v>1.5411383869375039</v>
      </c>
      <c r="W473" t="str">
        <f t="shared" si="414"/>
        <v>1-8,87137197472783i</v>
      </c>
      <c r="X473" s="4">
        <f t="shared" si="428"/>
        <v>8.9275551364293673</v>
      </c>
      <c r="Y473" s="4">
        <f t="shared" si="429"/>
        <v>-1.4585480098615142</v>
      </c>
      <c r="Z473" t="str">
        <f t="shared" si="415"/>
        <v>0,496429835282334+1,21885475729294i</v>
      </c>
      <c r="AA473" s="4">
        <f t="shared" si="430"/>
        <v>1.3160735164625406</v>
      </c>
      <c r="AB473" s="4">
        <f t="shared" si="431"/>
        <v>1.184019561284896</v>
      </c>
      <c r="AC473" s="47" t="str">
        <f t="shared" si="432"/>
        <v>-1,11994529886482-0,568144150343013i</v>
      </c>
      <c r="AD473" s="20">
        <f t="shared" si="433"/>
        <v>1.9784966179316721</v>
      </c>
      <c r="AE473" s="43">
        <f t="shared" si="434"/>
        <v>-153.10148626269506</v>
      </c>
      <c r="AF473" t="str">
        <f t="shared" si="416"/>
        <v>171,265703090588</v>
      </c>
      <c r="AG473" t="str">
        <f t="shared" si="417"/>
        <v>1+9856,39545247733i</v>
      </c>
      <c r="AH473">
        <f t="shared" si="435"/>
        <v>9856.3955032058147</v>
      </c>
      <c r="AI473">
        <f t="shared" si="436"/>
        <v>1.5706948698270435</v>
      </c>
      <c r="AJ473" t="str">
        <f t="shared" si="418"/>
        <v>1+33,7078971032276i</v>
      </c>
      <c r="AK473">
        <f t="shared" si="437"/>
        <v>33.722727160207256</v>
      </c>
      <c r="AL473">
        <f t="shared" si="438"/>
        <v>1.5411383869375039</v>
      </c>
      <c r="AM473" t="str">
        <f t="shared" si="419"/>
        <v>1-2,80277287071664i</v>
      </c>
      <c r="AN473">
        <f t="shared" si="439"/>
        <v>2.9758252241731533</v>
      </c>
      <c r="AO473">
        <f t="shared" si="440"/>
        <v>-1.2280857842692938</v>
      </c>
      <c r="AP473" s="41" t="str">
        <f t="shared" si="441"/>
        <v>0,537178808919738-1,6589386207348i</v>
      </c>
      <c r="AQ473">
        <f t="shared" si="442"/>
        <v>4.8296477874854213</v>
      </c>
      <c r="AR473" s="43">
        <f t="shared" si="443"/>
        <v>-72.057594045465478</v>
      </c>
      <c r="AS473" t="str">
        <f t="shared" si="420"/>
        <v>-0,0000166666666666667</v>
      </c>
      <c r="AT473" t="str">
        <f t="shared" si="421"/>
        <v>0,00341760623407725i</v>
      </c>
      <c r="AU473">
        <f t="shared" si="444"/>
        <v>3.4176062340772499E-3</v>
      </c>
      <c r="AV473">
        <f t="shared" si="445"/>
        <v>1.5707963267948966</v>
      </c>
      <c r="AW473" t="str">
        <f t="shared" si="422"/>
        <v>1+15,8367329446251i</v>
      </c>
      <c r="AX473">
        <f t="shared" si="446"/>
        <v>15.868273704451092</v>
      </c>
      <c r="AY473">
        <f t="shared" si="447"/>
        <v>1.5077357129084374</v>
      </c>
      <c r="AZ473" t="str">
        <f t="shared" si="423"/>
        <v>1+735,688230427587i</v>
      </c>
      <c r="BA473">
        <f t="shared" si="448"/>
        <v>735.68891006299282</v>
      </c>
      <c r="BB473">
        <f t="shared" si="449"/>
        <v>1.5694370561925295</v>
      </c>
      <c r="BC473" s="41" t="str">
        <f t="shared" si="450"/>
        <v>-0,0139415247227617+0,22566491158386i</v>
      </c>
      <c r="BD473">
        <f t="shared" si="451"/>
        <v>-12.914174939296387</v>
      </c>
      <c r="BE473" s="43">
        <f t="shared" si="452"/>
        <v>93.535226560466342</v>
      </c>
      <c r="BF473" s="41" t="str">
        <f t="shared" si="453"/>
        <v>0,143823944526308-0,24481156112899i</v>
      </c>
      <c r="BG473" s="20">
        <f t="shared" si="454"/>
        <v>-10.935678321364705</v>
      </c>
      <c r="BH473" s="43">
        <f t="shared" si="455"/>
        <v>-59.566259702228741</v>
      </c>
      <c r="BI473" s="41" t="str">
        <f t="shared" si="409"/>
        <v>0,366875145526071+0,144350542214114i</v>
      </c>
      <c r="BJ473" s="20">
        <f t="shared" si="456"/>
        <v>-8.0845271518109705</v>
      </c>
      <c r="BK473" s="43">
        <f t="shared" si="410"/>
        <v>21.477632515000828</v>
      </c>
      <c r="BL473">
        <f t="shared" si="457"/>
        <v>-10.935678321364705</v>
      </c>
      <c r="BM473" s="43">
        <f t="shared" si="458"/>
        <v>-59.566259702228741</v>
      </c>
    </row>
    <row r="474" spans="14:65" x14ac:dyDescent="0.25">
      <c r="N474" s="9">
        <v>56</v>
      </c>
      <c r="O474" s="34">
        <f t="shared" si="408"/>
        <v>363078.05477010203</v>
      </c>
      <c r="P474" s="33" t="str">
        <f t="shared" si="411"/>
        <v>54,631621870174</v>
      </c>
      <c r="Q474" s="4" t="str">
        <f t="shared" si="412"/>
        <v>1+10183,4360562894i</v>
      </c>
      <c r="R474" s="4">
        <f t="shared" si="424"/>
        <v>10183.436105388741</v>
      </c>
      <c r="S474" s="4">
        <f t="shared" si="425"/>
        <v>1.57069812811311</v>
      </c>
      <c r="T474" s="4" t="str">
        <f t="shared" si="413"/>
        <v>1+34,4930548902537i</v>
      </c>
      <c r="U474" s="4">
        <f t="shared" si="426"/>
        <v>34.507547517348364</v>
      </c>
      <c r="V474" s="4">
        <f t="shared" si="427"/>
        <v>1.5418131016678209</v>
      </c>
      <c r="W474" t="str">
        <f t="shared" si="414"/>
        <v>1-9,0780127736549i</v>
      </c>
      <c r="X474" s="4">
        <f t="shared" si="428"/>
        <v>9.1329248282596485</v>
      </c>
      <c r="Y474" s="4">
        <f t="shared" si="429"/>
        <v>-1.4610824037525061</v>
      </c>
      <c r="Z474" t="str">
        <f t="shared" si="415"/>
        <v>0,472697304577434+1,24724553174593i</v>
      </c>
      <c r="AA474" s="4">
        <f t="shared" si="430"/>
        <v>1.3338156387653277</v>
      </c>
      <c r="AB474" s="4">
        <f t="shared" si="431"/>
        <v>1.2085295629222317</v>
      </c>
      <c r="AC474" s="47" t="str">
        <f t="shared" si="432"/>
        <v>-1,14517494709496-0,543463182649983i</v>
      </c>
      <c r="AD474" s="20">
        <f t="shared" si="433"/>
        <v>2.0595584710428279</v>
      </c>
      <c r="AE474" s="43">
        <f t="shared" si="434"/>
        <v>-154.6124887345207</v>
      </c>
      <c r="AF474" t="str">
        <f t="shared" si="416"/>
        <v>171,265703090588</v>
      </c>
      <c r="AG474" t="str">
        <f t="shared" si="417"/>
        <v>1+10085,980395668i</v>
      </c>
      <c r="AH474">
        <f t="shared" si="435"/>
        <v>10085.980445241763</v>
      </c>
      <c r="AI474">
        <f t="shared" si="436"/>
        <v>1.5706971792695701</v>
      </c>
      <c r="AJ474" t="str">
        <f t="shared" si="418"/>
        <v>1+34,4930548902537i</v>
      </c>
      <c r="AK474">
        <f t="shared" si="437"/>
        <v>34.507547517348364</v>
      </c>
      <c r="AL474">
        <f t="shared" si="438"/>
        <v>1.5418131016678209</v>
      </c>
      <c r="AM474" t="str">
        <f t="shared" si="419"/>
        <v>1-2,86805783755896i</v>
      </c>
      <c r="AN474">
        <f t="shared" si="439"/>
        <v>3.0373929215008353</v>
      </c>
      <c r="AO474">
        <f t="shared" si="440"/>
        <v>-1.2353086337880825</v>
      </c>
      <c r="AP474" s="41" t="str">
        <f t="shared" si="441"/>
        <v>0,53717872982385-1,69678250565206i</v>
      </c>
      <c r="AQ474">
        <f t="shared" si="442"/>
        <v>5.0073470234252735</v>
      </c>
      <c r="AR474" s="43">
        <f t="shared" si="443"/>
        <v>-72.432906853837565</v>
      </c>
      <c r="AS474" t="str">
        <f t="shared" si="420"/>
        <v>-0,0000166666666666667</v>
      </c>
      <c r="AT474" t="str">
        <f t="shared" si="421"/>
        <v>0,00349721250970627i</v>
      </c>
      <c r="AU474">
        <f t="shared" si="444"/>
        <v>3.4972125097062698E-3</v>
      </c>
      <c r="AV474">
        <f t="shared" si="445"/>
        <v>1.5707963267948966</v>
      </c>
      <c r="AW474" t="str">
        <f t="shared" si="422"/>
        <v>1+16,2056178428567i</v>
      </c>
      <c r="AX474">
        <f t="shared" si="446"/>
        <v>16.236442026155714</v>
      </c>
      <c r="AY474">
        <f t="shared" si="447"/>
        <v>1.5091674737336942</v>
      </c>
      <c r="AZ474" t="str">
        <f t="shared" si="423"/>
        <v>1+752,824610699981i</v>
      </c>
      <c r="BA474">
        <f t="shared" si="448"/>
        <v>752.8252748650101</v>
      </c>
      <c r="BB474">
        <f t="shared" si="449"/>
        <v>1.5694679969320926</v>
      </c>
      <c r="BC474" s="41" t="str">
        <f t="shared" si="450"/>
        <v>-0,013316432943414+0,220566723599555i</v>
      </c>
      <c r="BD474">
        <f t="shared" si="451"/>
        <v>-13.113398967843139</v>
      </c>
      <c r="BE474" s="43">
        <f t="shared" si="452"/>
        <v>93.454965481698949</v>
      </c>
      <c r="BF474" s="41" t="str">
        <f t="shared" si="453"/>
        <v>0,135119538985561-0,245350495000056i</v>
      </c>
      <c r="BG474" s="20">
        <f t="shared" si="454"/>
        <v>-11.053840496800317</v>
      </c>
      <c r="BH474" s="43">
        <f t="shared" si="455"/>
        <v>-61.157523252821719</v>
      </c>
      <c r="BI474" s="41" t="str">
        <f t="shared" si="409"/>
        <v>0,367100453398391+0,141078842880691i</v>
      </c>
      <c r="BJ474" s="20">
        <f t="shared" si="456"/>
        <v>-8.1060519444178585</v>
      </c>
      <c r="BK474" s="43">
        <f t="shared" si="410"/>
        <v>21.022058627861412</v>
      </c>
      <c r="BL474">
        <f t="shared" si="457"/>
        <v>-11.053840496800317</v>
      </c>
      <c r="BM474" s="43">
        <f t="shared" si="458"/>
        <v>-61.157523252821719</v>
      </c>
    </row>
    <row r="475" spans="14:65" x14ac:dyDescent="0.25">
      <c r="N475" s="9">
        <v>57</v>
      </c>
      <c r="O475" s="34">
        <f t="shared" si="408"/>
        <v>371535.2290971732</v>
      </c>
      <c r="P475" s="33" t="str">
        <f t="shared" si="411"/>
        <v>54,631621870174</v>
      </c>
      <c r="Q475" s="4" t="str">
        <f t="shared" si="412"/>
        <v>1+10420,6387537401i</v>
      </c>
      <c r="R475" s="4">
        <f t="shared" si="424"/>
        <v>10420.638801721803</v>
      </c>
      <c r="S475" s="4">
        <f t="shared" si="425"/>
        <v>1.5707003633879921</v>
      </c>
      <c r="T475" s="4" t="str">
        <f t="shared" si="413"/>
        <v>1+35,296501351552i</v>
      </c>
      <c r="U475" s="4">
        <f t="shared" si="426"/>
        <v>35.31066422003574</v>
      </c>
      <c r="V475" s="4">
        <f t="shared" si="427"/>
        <v>1.5424724835229042</v>
      </c>
      <c r="W475" t="str">
        <f t="shared" si="414"/>
        <v>1-9,28946685511623i</v>
      </c>
      <c r="X475" s="4">
        <f t="shared" si="428"/>
        <v>9.3431362214356604</v>
      </c>
      <c r="Y475" s="4">
        <f t="shared" si="429"/>
        <v>-1.4635604759367098</v>
      </c>
      <c r="Z475" t="str">
        <f t="shared" si="415"/>
        <v>0,447846294158843+1,27629761228909i</v>
      </c>
      <c r="AA475" s="4">
        <f t="shared" si="430"/>
        <v>1.3525908096414974</v>
      </c>
      <c r="AB475" s="4">
        <f t="shared" si="431"/>
        <v>1.2333245118078369</v>
      </c>
      <c r="AC475" s="47" t="str">
        <f t="shared" si="432"/>
        <v>-1,16943064243534-0,517305732573092i</v>
      </c>
      <c r="AD475" s="20">
        <f t="shared" si="433"/>
        <v>2.1356377341625294</v>
      </c>
      <c r="AE475" s="43">
        <f t="shared" si="434"/>
        <v>-156.13746601082519</v>
      </c>
      <c r="AF475" t="str">
        <f t="shared" si="416"/>
        <v>171,265703090588</v>
      </c>
      <c r="AG475" t="str">
        <f t="shared" si="417"/>
        <v>1+10320,9130591681i</v>
      </c>
      <c r="AH475">
        <f t="shared" si="435"/>
        <v>10320.913107613427</v>
      </c>
      <c r="AI475">
        <f t="shared" si="436"/>
        <v>1.5706994361427675</v>
      </c>
      <c r="AJ475" t="str">
        <f t="shared" si="418"/>
        <v>1+35,296501351552i</v>
      </c>
      <c r="AK475">
        <f t="shared" si="437"/>
        <v>35.31066422003574</v>
      </c>
      <c r="AL475">
        <f t="shared" si="438"/>
        <v>1.5424724835229042</v>
      </c>
      <c r="AM475" t="str">
        <f t="shared" si="419"/>
        <v>1-2,93486348662998i</v>
      </c>
      <c r="AN475">
        <f t="shared" si="439"/>
        <v>3.1005521581089202</v>
      </c>
      <c r="AO475">
        <f t="shared" si="440"/>
        <v>-1.2424023990335218</v>
      </c>
      <c r="AP475" s="41" t="str">
        <f t="shared" si="441"/>
        <v>0,537178654287866-1,73552604711268i</v>
      </c>
      <c r="AQ475">
        <f t="shared" si="442"/>
        <v>5.1859441729948959</v>
      </c>
      <c r="AR475" s="43">
        <f t="shared" si="443"/>
        <v>-72.801699175183131</v>
      </c>
      <c r="AS475" t="str">
        <f t="shared" si="420"/>
        <v>-0,0000166666666666667</v>
      </c>
      <c r="AT475" t="str">
        <f t="shared" si="421"/>
        <v>0,00357867305369902i</v>
      </c>
      <c r="AU475">
        <f t="shared" si="444"/>
        <v>3.5786730536990202E-3</v>
      </c>
      <c r="AV475">
        <f t="shared" si="445"/>
        <v>1.5707963267948966</v>
      </c>
      <c r="AW475" t="str">
        <f t="shared" si="422"/>
        <v>1+16,5830951741752i</v>
      </c>
      <c r="AX475">
        <f t="shared" si="446"/>
        <v>16.613219000415086</v>
      </c>
      <c r="AY475">
        <f t="shared" si="447"/>
        <v>1.5105668882077652</v>
      </c>
      <c r="AZ475" t="str">
        <f t="shared" si="423"/>
        <v>1+770,360148545777i</v>
      </c>
      <c r="BA475">
        <f t="shared" si="448"/>
        <v>770.36079759257711</v>
      </c>
      <c r="BB475">
        <f t="shared" si="449"/>
        <v>1.5694982333768954</v>
      </c>
      <c r="BC475" s="41" t="str">
        <f t="shared" si="450"/>
        <v>-0,0127192662559757+0,215582022574422i</v>
      </c>
      <c r="BD475">
        <f t="shared" si="451"/>
        <v>-13.312657791289151</v>
      </c>
      <c r="BE475" s="43">
        <f t="shared" si="452"/>
        <v>93.376517359219818</v>
      </c>
      <c r="BF475" s="41" t="str">
        <f t="shared" si="453"/>
        <v>0,126396115826482-0,245528473808377i</v>
      </c>
      <c r="BG475" s="20">
        <f t="shared" si="454"/>
        <v>-11.177020057126608</v>
      </c>
      <c r="BH475" s="43">
        <f t="shared" si="455"/>
        <v>-62.760948651605425</v>
      </c>
      <c r="BI475" s="41" t="str">
        <f t="shared" si="409"/>
        <v>0,367315697136229+0,137880678662592i</v>
      </c>
      <c r="BJ475" s="20">
        <f t="shared" si="456"/>
        <v>-8.1267136182942536</v>
      </c>
      <c r="BK475" s="43">
        <f t="shared" si="410"/>
        <v>20.574818184036747</v>
      </c>
      <c r="BL475">
        <f t="shared" si="457"/>
        <v>-11.177020057126608</v>
      </c>
      <c r="BM475" s="43">
        <f t="shared" si="458"/>
        <v>-62.760948651605425</v>
      </c>
    </row>
    <row r="476" spans="14:65" x14ac:dyDescent="0.25">
      <c r="N476" s="9">
        <v>58</v>
      </c>
      <c r="O476" s="34">
        <f t="shared" si="408"/>
        <v>380189.39632056188</v>
      </c>
      <c r="P476" s="33" t="str">
        <f t="shared" si="411"/>
        <v>54,631621870174</v>
      </c>
      <c r="Q476" s="4" t="str">
        <f t="shared" si="412"/>
        <v>1+10663,3666117915i</v>
      </c>
      <c r="R476" s="4">
        <f t="shared" si="424"/>
        <v>10663.366658681007</v>
      </c>
      <c r="S476" s="4">
        <f t="shared" si="425"/>
        <v>1.5707025477818068</v>
      </c>
      <c r="T476" s="4" t="str">
        <f t="shared" si="413"/>
        <v>1+36,1186624850713i</v>
      </c>
      <c r="U476" s="4">
        <f t="shared" si="426"/>
        <v>36.132503092236732</v>
      </c>
      <c r="V476" s="4">
        <f t="shared" si="427"/>
        <v>1.5431168798209169</v>
      </c>
      <c r="W476" t="str">
        <f t="shared" si="414"/>
        <v>1-9,50584633486477i</v>
      </c>
      <c r="X476" s="4">
        <f t="shared" si="428"/>
        <v>9.5583008187680516</v>
      </c>
      <c r="Y476" s="4">
        <f t="shared" si="429"/>
        <v>-1.4659834185150076</v>
      </c>
      <c r="Z476" t="str">
        <f t="shared" si="415"/>
        <v>0,421824091701626+1,30602640272009i</v>
      </c>
      <c r="AA476" s="4">
        <f t="shared" si="430"/>
        <v>1.3724578423186196</v>
      </c>
      <c r="AB476" s="4">
        <f t="shared" si="431"/>
        <v>1.2583899776695882</v>
      </c>
      <c r="AC476" s="47" t="str">
        <f t="shared" si="432"/>
        <v>-1,19259749205029-0,489712322619983i</v>
      </c>
      <c r="AD476" s="20">
        <f t="shared" si="433"/>
        <v>2.2065896207274061</v>
      </c>
      <c r="AE476" s="43">
        <f t="shared" si="434"/>
        <v>-157.6756397683082</v>
      </c>
      <c r="AF476" t="str">
        <f t="shared" si="416"/>
        <v>171,265703090588</v>
      </c>
      <c r="AG476" t="str">
        <f t="shared" si="417"/>
        <v>1+10561,3180073856i</v>
      </c>
      <c r="AH476">
        <f t="shared" si="435"/>
        <v>10561.318054728175</v>
      </c>
      <c r="AI476">
        <f t="shared" si="436"/>
        <v>1.57070164164326</v>
      </c>
      <c r="AJ476" t="str">
        <f t="shared" si="418"/>
        <v>1+36,1186624850713i</v>
      </c>
      <c r="AK476">
        <f t="shared" si="437"/>
        <v>36.132503092236732</v>
      </c>
      <c r="AL476">
        <f t="shared" si="438"/>
        <v>1.5431168798209169</v>
      </c>
      <c r="AM476" t="str">
        <f t="shared" si="419"/>
        <v>1-3,00322523916911i</v>
      </c>
      <c r="AN476">
        <f t="shared" si="439"/>
        <v>3.1653375550140552</v>
      </c>
      <c r="AO476">
        <f t="shared" si="440"/>
        <v>-1.2493679845406371</v>
      </c>
      <c r="AP476" s="41" t="str">
        <f t="shared" si="441"/>
        <v>0,53717858215156-1,7751897874552i</v>
      </c>
      <c r="AQ476">
        <f t="shared" si="442"/>
        <v>5.365407182742632</v>
      </c>
      <c r="AR476" s="43">
        <f t="shared" si="443"/>
        <v>-73.164003004238182</v>
      </c>
      <c r="AS476" t="str">
        <f t="shared" si="420"/>
        <v>-0,0000166666666666667</v>
      </c>
      <c r="AT476" t="str">
        <f t="shared" si="421"/>
        <v>0,00366203105751417i</v>
      </c>
      <c r="AU476">
        <f t="shared" si="444"/>
        <v>3.6620310575141701E-3</v>
      </c>
      <c r="AV476">
        <f t="shared" si="445"/>
        <v>1.5707963267948966</v>
      </c>
      <c r="AW476" t="str">
        <f t="shared" si="422"/>
        <v>1+16,9693650820583i</v>
      </c>
      <c r="AX476">
        <f t="shared" si="446"/>
        <v>16.998804407609953</v>
      </c>
      <c r="AY476">
        <f t="shared" si="447"/>
        <v>1.5119346763818797</v>
      </c>
      <c r="AZ476" t="str">
        <f t="shared" si="423"/>
        <v>1+788,304141539254i</v>
      </c>
      <c r="BA476">
        <f t="shared" si="448"/>
        <v>788.30477581195726</v>
      </c>
      <c r="BB476">
        <f t="shared" si="449"/>
        <v>1.5695277815584794</v>
      </c>
      <c r="BC476" s="41" t="str">
        <f t="shared" si="450"/>
        <v>-0,0121487860876243+0,210708394867504i</v>
      </c>
      <c r="BD476">
        <f t="shared" si="451"/>
        <v>-13.511949854966307</v>
      </c>
      <c r="BE476" s="43">
        <f t="shared" si="452"/>
        <v>93.299841855672199</v>
      </c>
      <c r="BF476" s="41" t="str">
        <f t="shared" si="453"/>
        <v>0,11767510926565-0,245340893020944i</v>
      </c>
      <c r="BG476" s="20">
        <f t="shared" si="454"/>
        <v>-11.305360234238893</v>
      </c>
      <c r="BH476" s="43">
        <f t="shared" si="455"/>
        <v>-64.375797912636045</v>
      </c>
      <c r="BI476" s="41" t="str">
        <f t="shared" si="409"/>
        <v>0,367521323014458+0,134754437795085i</v>
      </c>
      <c r="BJ476" s="20">
        <f t="shared" si="456"/>
        <v>-8.1465426722236813</v>
      </c>
      <c r="BK476" s="43">
        <f t="shared" si="410"/>
        <v>20.135838851433984</v>
      </c>
      <c r="BL476">
        <f t="shared" si="457"/>
        <v>-11.305360234238893</v>
      </c>
      <c r="BM476" s="43">
        <f t="shared" si="458"/>
        <v>-64.375797912636045</v>
      </c>
    </row>
    <row r="477" spans="14:65" x14ac:dyDescent="0.25">
      <c r="N477" s="9">
        <v>59</v>
      </c>
      <c r="O477" s="34">
        <f t="shared" si="408"/>
        <v>389045.14499428123</v>
      </c>
      <c r="P477" s="33" t="str">
        <f t="shared" si="411"/>
        <v>54,631621870174</v>
      </c>
      <c r="Q477" s="4" t="str">
        <f t="shared" si="412"/>
        <v>1+10911,7483279668i</v>
      </c>
      <c r="R477" s="4">
        <f t="shared" si="424"/>
        <v>10911.748373788969</v>
      </c>
      <c r="S477" s="4">
        <f t="shared" si="425"/>
        <v>1.5707046824527486</v>
      </c>
      <c r="T477" s="4" t="str">
        <f t="shared" si="413"/>
        <v>1+36,9599742115272i</v>
      </c>
      <c r="U477" s="4">
        <f t="shared" si="426"/>
        <v>36.973499884603235</v>
      </c>
      <c r="V477" s="4">
        <f t="shared" si="427"/>
        <v>1.5437466300874139</v>
      </c>
      <c r="W477" t="str">
        <f t="shared" si="414"/>
        <v>1-9,72726594016481i</v>
      </c>
      <c r="X477" s="4">
        <f t="shared" si="428"/>
        <v>9.778532746311706</v>
      </c>
      <c r="Y477" s="4">
        <f t="shared" si="429"/>
        <v>-1.4683524023075971</v>
      </c>
      <c r="Z477" t="str">
        <f t="shared" si="415"/>
        <v>0,394575500625514+1,33644766563711i</v>
      </c>
      <c r="AA477" s="4">
        <f t="shared" si="430"/>
        <v>1.3934784493061796</v>
      </c>
      <c r="AB477" s="4">
        <f t="shared" si="431"/>
        <v>1.2837103528942611</v>
      </c>
      <c r="AC477" s="47" t="str">
        <f t="shared" si="432"/>
        <v>-1,21456193302066-0,460734263116823i</v>
      </c>
      <c r="AD477" s="20">
        <f t="shared" si="433"/>
        <v>2.2722750328818226</v>
      </c>
      <c r="AE477" s="43">
        <f t="shared" si="434"/>
        <v>-159.22616345263782</v>
      </c>
      <c r="AF477" t="str">
        <f t="shared" si="416"/>
        <v>171,265703090588</v>
      </c>
      <c r="AG477" t="str">
        <f t="shared" si="417"/>
        <v>1+10807,3227062063i</v>
      </c>
      <c r="AH477">
        <f t="shared" si="435"/>
        <v>10807.322752471227</v>
      </c>
      <c r="AI477">
        <f t="shared" si="436"/>
        <v>1.5707037969404332</v>
      </c>
      <c r="AJ477" t="str">
        <f t="shared" si="418"/>
        <v>1+36,9599742115272i</v>
      </c>
      <c r="AK477">
        <f t="shared" si="437"/>
        <v>36.973499884603235</v>
      </c>
      <c r="AL477">
        <f t="shared" si="438"/>
        <v>1.5437466300874139</v>
      </c>
      <c r="AM477" t="str">
        <f t="shared" si="419"/>
        <v>1-3,07317934148245i</v>
      </c>
      <c r="AN477">
        <f t="shared" si="439"/>
        <v>3.2317845325631631</v>
      </c>
      <c r="AO477">
        <f t="shared" si="440"/>
        <v>-1.2562063789309199</v>
      </c>
      <c r="AP477" s="41" t="str">
        <f t="shared" si="441"/>
        <v>0,537178513261917-1,81579475691984i</v>
      </c>
      <c r="AQ477">
        <f t="shared" si="442"/>
        <v>5.54570481677567</v>
      </c>
      <c r="AR477" s="43">
        <f t="shared" si="443"/>
        <v>-73.519855598461504</v>
      </c>
      <c r="AS477" t="str">
        <f t="shared" si="420"/>
        <v>-0,0000166666666666667</v>
      </c>
      <c r="AT477" t="str">
        <f t="shared" si="421"/>
        <v>0,00374733071866873i</v>
      </c>
      <c r="AU477">
        <f t="shared" si="444"/>
        <v>3.7473307186687301E-3</v>
      </c>
      <c r="AV477">
        <f t="shared" si="445"/>
        <v>1.5707963267948966</v>
      </c>
      <c r="AW477" t="str">
        <f t="shared" si="422"/>
        <v>1+17,364632371924i</v>
      </c>
      <c r="AX477">
        <f t="shared" si="446"/>
        <v>17.393402697921729</v>
      </c>
      <c r="AY477">
        <f t="shared" si="447"/>
        <v>1.5132715429925112</v>
      </c>
      <c r="AZ477" t="str">
        <f t="shared" si="423"/>
        <v>1+806,666103823015i</v>
      </c>
      <c r="BA477">
        <f t="shared" si="448"/>
        <v>806.66672365791999</v>
      </c>
      <c r="BB477">
        <f t="shared" si="449"/>
        <v>1.5695566571434754</v>
      </c>
      <c r="BC477" s="41" t="str">
        <f t="shared" si="450"/>
        <v>-0,0116038080160544+0,205943470603779i</v>
      </c>
      <c r="BD477">
        <f t="shared" si="451"/>
        <v>-13.711273673183603</v>
      </c>
      <c r="BE477" s="43">
        <f t="shared" si="452"/>
        <v>93.224899490262302</v>
      </c>
      <c r="BF477" s="41" t="str">
        <f t="shared" si="453"/>
        <v>0,108978756666733-0,244784827813883i</v>
      </c>
      <c r="BG477" s="20">
        <f t="shared" si="454"/>
        <v>-11.43899864030179</v>
      </c>
      <c r="BH477" s="43">
        <f t="shared" si="455"/>
        <v>-66.001263962375447</v>
      </c>
      <c r="BI477" s="41" t="str">
        <f t="shared" si="409"/>
        <v>0,367717757805976+0,131698541110793i</v>
      </c>
      <c r="BJ477" s="20">
        <f t="shared" si="456"/>
        <v>-8.1655688564079441</v>
      </c>
      <c r="BK477" s="43">
        <f t="shared" si="410"/>
        <v>19.705043891800777</v>
      </c>
      <c r="BL477">
        <f t="shared" si="457"/>
        <v>-11.43899864030179</v>
      </c>
      <c r="BM477" s="43">
        <f t="shared" si="458"/>
        <v>-66.001263962375447</v>
      </c>
    </row>
    <row r="478" spans="14:65" x14ac:dyDescent="0.25">
      <c r="N478" s="9">
        <v>60</v>
      </c>
      <c r="O478" s="34">
        <f t="shared" si="408"/>
        <v>398107.17055349716</v>
      </c>
      <c r="P478" s="33" t="str">
        <f t="shared" si="411"/>
        <v>54,631621870174</v>
      </c>
      <c r="Q478" s="4" t="str">
        <f t="shared" si="412"/>
        <v>1+11165,9155975396i</v>
      </c>
      <c r="R478" s="4">
        <f t="shared" si="424"/>
        <v>11165.915642318732</v>
      </c>
      <c r="S478" s="4">
        <f t="shared" si="425"/>
        <v>1.5707067685326483</v>
      </c>
      <c r="T478" s="4" t="str">
        <f t="shared" si="413"/>
        <v>1+37,8208826055331i</v>
      </c>
      <c r="U478" s="4">
        <f t="shared" si="426"/>
        <v>37.834100505516396</v>
      </c>
      <c r="V478" s="4">
        <f t="shared" si="427"/>
        <v>1.5443620662251798</v>
      </c>
      <c r="W478" t="str">
        <f t="shared" si="414"/>
        <v>1-9,95384307062189i</v>
      </c>
      <c r="X478" s="4">
        <f t="shared" si="428"/>
        <v>10.003948814071741</v>
      </c>
      <c r="Y478" s="4">
        <f t="shared" si="429"/>
        <v>-1.4706685769634336</v>
      </c>
      <c r="Z478" t="str">
        <f t="shared" si="415"/>
        <v>0,366042723015554+1,36757753079642i</v>
      </c>
      <c r="AA478" s="4">
        <f t="shared" si="430"/>
        <v>1.4157173368338307</v>
      </c>
      <c r="AB478" s="4">
        <f t="shared" si="431"/>
        <v>1.3092688795401068</v>
      </c>
      <c r="AC478" s="47" t="str">
        <f t="shared" si="432"/>
        <v>-1,23521292720419-0,43043375397876i</v>
      </c>
      <c r="AD478" s="20">
        <f t="shared" si="433"/>
        <v>2.3325615005529059</v>
      </c>
      <c r="AE478" s="43">
        <f t="shared" si="434"/>
        <v>-160.78812382273219</v>
      </c>
      <c r="AF478" t="str">
        <f t="shared" si="416"/>
        <v>171,265703090588</v>
      </c>
      <c r="AG478" t="str">
        <f t="shared" si="417"/>
        <v>1+11059,0575905775i</v>
      </c>
      <c r="AH478">
        <f t="shared" si="435"/>
        <v>11059.05763578931</v>
      </c>
      <c r="AI478">
        <f t="shared" si="436"/>
        <v>1.5707059031770536</v>
      </c>
      <c r="AJ478" t="str">
        <f t="shared" si="418"/>
        <v>1+37,8208826055331i</v>
      </c>
      <c r="AK478">
        <f t="shared" si="437"/>
        <v>37.834100505516396</v>
      </c>
      <c r="AL478">
        <f t="shared" si="438"/>
        <v>1.5443620662251798</v>
      </c>
      <c r="AM478" t="str">
        <f t="shared" si="419"/>
        <v>1-3,14476288416096i</v>
      </c>
      <c r="AN478">
        <f t="shared" si="439"/>
        <v>3.2999293322124883</v>
      </c>
      <c r="AO478">
        <f t="shared" si="440"/>
        <v>-1.2629186488348294</v>
      </c>
      <c r="AP478" s="41" t="str">
        <f t="shared" si="441"/>
        <v>0,537178447472827-1,85736248479891i</v>
      </c>
      <c r="AQ478">
        <f t="shared" si="442"/>
        <v>5.7268066625379133</v>
      </c>
      <c r="AR478" s="43">
        <f t="shared" si="443"/>
        <v>-73.869299120123316</v>
      </c>
      <c r="AS478" t="str">
        <f t="shared" si="420"/>
        <v>-0,0000166666666666667</v>
      </c>
      <c r="AT478" t="str">
        <f t="shared" si="421"/>
        <v>0,00383461726417211i</v>
      </c>
      <c r="AU478">
        <f t="shared" si="444"/>
        <v>3.8346172641721102E-3</v>
      </c>
      <c r="AV478">
        <f t="shared" si="445"/>
        <v>1.5707963267948966</v>
      </c>
      <c r="AW478" t="str">
        <f t="shared" si="422"/>
        <v>1+17,7691066197213i</v>
      </c>
      <c r="AX478">
        <f t="shared" si="446"/>
        <v>17.797223099771021</v>
      </c>
      <c r="AY478">
        <f t="shared" si="447"/>
        <v>1.5145781777391056</v>
      </c>
      <c r="AZ478" t="str">
        <f t="shared" si="423"/>
        <v>1+825,455771152508i</v>
      </c>
      <c r="BA478">
        <f t="shared" si="448"/>
        <v>825.45637687825854</v>
      </c>
      <c r="BB478">
        <f t="shared" si="449"/>
        <v>1.5695848754419077</v>
      </c>
      <c r="BC478" s="41" t="str">
        <f t="shared" si="450"/>
        <v>-0,0110831994709885+0,201284923407922i</v>
      </c>
      <c r="BD478">
        <f t="shared" si="451"/>
        <v>-13.910627826209749</v>
      </c>
      <c r="BE478" s="43">
        <f t="shared" si="452"/>
        <v>93.151651623322522</v>
      </c>
      <c r="BF478" s="41" t="str">
        <f t="shared" si="453"/>
        <v>0,100329936463147-0,243859156290378i</v>
      </c>
      <c r="BG478" s="20">
        <f t="shared" si="454"/>
        <v>-11.578066325656826</v>
      </c>
      <c r="BH478" s="43">
        <f t="shared" si="455"/>
        <v>-67.636472199409639</v>
      </c>
      <c r="BI478" s="41" t="str">
        <f t="shared" si="409"/>
        <v>0,367905409608639+0,128711441564912i</v>
      </c>
      <c r="BJ478" s="20">
        <f t="shared" si="456"/>
        <v>-8.183821163671837</v>
      </c>
      <c r="BK478" s="43">
        <f t="shared" si="410"/>
        <v>19.282352503199274</v>
      </c>
      <c r="BL478">
        <f t="shared" si="457"/>
        <v>-11.578066325656826</v>
      </c>
      <c r="BM478" s="43">
        <f t="shared" si="458"/>
        <v>-67.636472199409639</v>
      </c>
    </row>
    <row r="479" spans="14:65" x14ac:dyDescent="0.25">
      <c r="N479" s="9">
        <v>61</v>
      </c>
      <c r="O479" s="34">
        <f t="shared" si="408"/>
        <v>407380.27780411334</v>
      </c>
      <c r="P479" s="33" t="str">
        <f t="shared" si="411"/>
        <v>54,631621870174</v>
      </c>
      <c r="Q479" s="4" t="str">
        <f t="shared" si="412"/>
        <v>1+11426,0031833607i</v>
      </c>
      <c r="R479" s="4">
        <f t="shared" si="424"/>
        <v>11426.003227120533</v>
      </c>
      <c r="S479" s="4">
        <f t="shared" si="425"/>
        <v>1.570708807127573</v>
      </c>
      <c r="T479" s="4" t="str">
        <f t="shared" si="413"/>
        <v>1+38,7018441321151i</v>
      </c>
      <c r="U479" s="4">
        <f t="shared" si="426"/>
        <v>38.714761257516898</v>
      </c>
      <c r="V479" s="4">
        <f t="shared" si="427"/>
        <v>1.5449635126807049</v>
      </c>
      <c r="W479" t="str">
        <f t="shared" si="414"/>
        <v>1-10,1856978604297i</v>
      </c>
      <c r="X479" s="4">
        <f t="shared" si="428"/>
        <v>10.234668578120258</v>
      </c>
      <c r="Y479" s="4">
        <f t="shared" si="429"/>
        <v>-1.4729330710905288</v>
      </c>
      <c r="Z479" t="str">
        <f t="shared" si="415"/>
        <v>0,336165237024974+1,3994325036646i</v>
      </c>
      <c r="AA479" s="4">
        <f t="shared" si="430"/>
        <v>1.4392423002736641</v>
      </c>
      <c r="AB479" s="4">
        <f t="shared" si="431"/>
        <v>1.3350476884396076</v>
      </c>
      <c r="AC479" s="47" t="str">
        <f t="shared" si="432"/>
        <v>-1,25444319902297-0,398883834168383i</v>
      </c>
      <c r="AD479" s="20">
        <f t="shared" si="433"/>
        <v>2.3873241177869868</v>
      </c>
      <c r="AE479" s="43">
        <f t="shared" si="434"/>
        <v>-162.36054318914321</v>
      </c>
      <c r="AF479" t="str">
        <f t="shared" si="416"/>
        <v>171,265703090588</v>
      </c>
      <c r="AG479" t="str">
        <f t="shared" si="417"/>
        <v>1+11316,6561336673i</v>
      </c>
      <c r="AH479">
        <f t="shared" si="435"/>
        <v>11316.656177849964</v>
      </c>
      <c r="AI479">
        <f t="shared" si="436"/>
        <v>1.570707961469876</v>
      </c>
      <c r="AJ479" t="str">
        <f t="shared" si="418"/>
        <v>1+38,7018441321151i</v>
      </c>
      <c r="AK479">
        <f t="shared" si="437"/>
        <v>38.714761257516898</v>
      </c>
      <c r="AL479">
        <f t="shared" si="438"/>
        <v>1.5449635126807049</v>
      </c>
      <c r="AM479" t="str">
        <f t="shared" si="419"/>
        <v>1-3,21801382174653i</v>
      </c>
      <c r="AN479">
        <f t="shared" si="439"/>
        <v>3.3698090386476958</v>
      </c>
      <c r="AO479">
        <f t="shared" si="440"/>
        <v>-1.2695059329948584</v>
      </c>
      <c r="AP479" s="41" t="str">
        <f t="shared" si="441"/>
        <v>0,537178384644727-1,89991501085198i</v>
      </c>
      <c r="AQ479">
        <f t="shared" si="442"/>
        <v>5.9086831339140513</v>
      </c>
      <c r="AR479" s="43">
        <f t="shared" si="443"/>
        <v>-74.212380288933403</v>
      </c>
      <c r="AS479" t="str">
        <f t="shared" si="420"/>
        <v>-0,0000166666666666667</v>
      </c>
      <c r="AT479" t="str">
        <f t="shared" si="421"/>
        <v>0,00392393697450612i</v>
      </c>
      <c r="AU479">
        <f t="shared" si="444"/>
        <v>3.9239369745061202E-3</v>
      </c>
      <c r="AV479">
        <f t="shared" si="445"/>
        <v>1.5707963267948966</v>
      </c>
      <c r="AW479" t="str">
        <f t="shared" si="422"/>
        <v>1+18,1830022830504i</v>
      </c>
      <c r="AX479">
        <f t="shared" si="446"/>
        <v>18.210479730787327</v>
      </c>
      <c r="AY479">
        <f t="shared" si="447"/>
        <v>1.5158552555601206</v>
      </c>
      <c r="AZ479" t="str">
        <f t="shared" si="423"/>
        <v>1+844,683106058068i</v>
      </c>
      <c r="BA479">
        <f t="shared" si="448"/>
        <v>844.68369799582695</v>
      </c>
      <c r="BB479">
        <f t="shared" si="449"/>
        <v>1.5696124514153122</v>
      </c>
      <c r="BC479" s="41" t="str">
        <f t="shared" si="450"/>
        <v>-0,0105858775271403+0,196730470097127i</v>
      </c>
      <c r="BD479">
        <f t="shared" si="451"/>
        <v>-14.110010957383466</v>
      </c>
      <c r="BE479" s="43">
        <f t="shared" si="452"/>
        <v>93.080060440960665</v>
      </c>
      <c r="BF479" s="41" t="str">
        <f t="shared" si="453"/>
        <v>0,0917519862797017-0,24256466483787i</v>
      </c>
      <c r="BG479" s="20">
        <f t="shared" si="454"/>
        <v>-11.722686839596484</v>
      </c>
      <c r="BH479" s="43">
        <f t="shared" si="455"/>
        <v>-69.280482748182521</v>
      </c>
      <c r="BI479" s="41" t="str">
        <f t="shared" si="409"/>
        <v>0,368084668639422+0,125791623754027i</v>
      </c>
      <c r="BJ479" s="20">
        <f t="shared" si="456"/>
        <v>-8.2013278234694162</v>
      </c>
      <c r="BK479" s="43">
        <f t="shared" si="410"/>
        <v>18.86768015202728</v>
      </c>
      <c r="BL479">
        <f t="shared" si="457"/>
        <v>-11.722686839596484</v>
      </c>
      <c r="BM479" s="43">
        <f t="shared" si="458"/>
        <v>-69.280482748182521</v>
      </c>
    </row>
    <row r="480" spans="14:65" x14ac:dyDescent="0.25">
      <c r="N480" s="9">
        <v>62</v>
      </c>
      <c r="O480" s="34">
        <f t="shared" si="408"/>
        <v>416869.38347033598</v>
      </c>
      <c r="P480" s="33" t="str">
        <f t="shared" si="411"/>
        <v>54,631621870174</v>
      </c>
      <c r="Q480" s="4" t="str">
        <f t="shared" si="412"/>
        <v>1+11692,1489873106i</v>
      </c>
      <c r="R480" s="4">
        <f t="shared" si="424"/>
        <v>11692.149030074337</v>
      </c>
      <c r="S480" s="4">
        <f t="shared" si="425"/>
        <v>1.5707107993184124</v>
      </c>
      <c r="T480" s="4" t="str">
        <f t="shared" si="413"/>
        <v>1+39,6033258887355i</v>
      </c>
      <c r="U480" s="4">
        <f t="shared" si="426"/>
        <v>39.615949079245688</v>
      </c>
      <c r="V480" s="4">
        <f t="shared" si="427"/>
        <v>1.5455512866073364</v>
      </c>
      <c r="W480" t="str">
        <f t="shared" si="414"/>
        <v>1-10,4229532420668i</v>
      </c>
      <c r="X480" s="4">
        <f t="shared" si="428"/>
        <v>10.470814404157435</v>
      </c>
      <c r="Y480" s="4">
        <f t="shared" si="429"/>
        <v>-1.4751469924052529</v>
      </c>
      <c r="Z480" t="str">
        <f t="shared" si="415"/>
        <v>0,304879668500245+1,4320294741699i</v>
      </c>
      <c r="AA480" s="4">
        <f t="shared" si="430"/>
        <v>1.4641243209359442</v>
      </c>
      <c r="AB480" s="4">
        <f t="shared" si="431"/>
        <v>1.3610278506458506</v>
      </c>
      <c r="AC480" s="47" t="str">
        <f t="shared" si="432"/>
        <v>-1,27215049417615-0,366168168327451i</v>
      </c>
      <c r="AD480" s="20">
        <f t="shared" si="433"/>
        <v>2.4364464627901379</v>
      </c>
      <c r="AE480" s="43">
        <f t="shared" si="434"/>
        <v>-163.94238236095725</v>
      </c>
      <c r="AF480" t="str">
        <f t="shared" si="416"/>
        <v>171,265703090588</v>
      </c>
      <c r="AG480" t="str">
        <f t="shared" si="417"/>
        <v>1+11580,2549176328i</v>
      </c>
      <c r="AH480">
        <f t="shared" si="435"/>
        <v>11580.254960809742</v>
      </c>
      <c r="AI480">
        <f t="shared" si="436"/>
        <v>1.5707099729102345</v>
      </c>
      <c r="AJ480" t="str">
        <f t="shared" si="418"/>
        <v>1+39,6033258887355i</v>
      </c>
      <c r="AK480">
        <f t="shared" si="437"/>
        <v>39.615949079245688</v>
      </c>
      <c r="AL480">
        <f t="shared" si="438"/>
        <v>1.5455512866073364</v>
      </c>
      <c r="AM480" t="str">
        <f t="shared" si="419"/>
        <v>1-3,29297099285584i</v>
      </c>
      <c r="AN480">
        <f t="shared" si="439"/>
        <v>3.4414616022541904</v>
      </c>
      <c r="AO480">
        <f t="shared" si="440"/>
        <v>-1.2759694365590681</v>
      </c>
      <c r="AP480" s="41" t="str">
        <f t="shared" si="441"/>
        <v>0,537178324644359-1,94347489699167i</v>
      </c>
      <c r="AQ480">
        <f t="shared" si="442"/>
        <v>6.0913054718592976</v>
      </c>
      <c r="AR480" s="43">
        <f t="shared" si="443"/>
        <v>-74.549150045769949</v>
      </c>
      <c r="AS480" t="str">
        <f t="shared" si="420"/>
        <v>-0,0000166666666666667</v>
      </c>
      <c r="AT480" t="str">
        <f t="shared" si="421"/>
        <v>0,00401533720816346i</v>
      </c>
      <c r="AU480">
        <f t="shared" si="444"/>
        <v>4.0153372081634603E-3</v>
      </c>
      <c r="AV480">
        <f t="shared" si="445"/>
        <v>1.5707963267948966</v>
      </c>
      <c r="AW480" t="str">
        <f t="shared" si="422"/>
        <v>1+18,6065388148705i</v>
      </c>
      <c r="AX480">
        <f t="shared" si="446"/>
        <v>18.63339171136813</v>
      </c>
      <c r="AY480">
        <f t="shared" si="447"/>
        <v>1.5171034369071101</v>
      </c>
      <c r="AZ480" t="str">
        <f t="shared" si="423"/>
        <v>1+864,358303127164i</v>
      </c>
      <c r="BA480">
        <f t="shared" si="448"/>
        <v>864.35888159078354</v>
      </c>
      <c r="BB480">
        <f t="shared" si="449"/>
        <v>1.5696393996846671</v>
      </c>
      <c r="BC480" s="41" t="str">
        <f t="shared" si="450"/>
        <v>-0,0101108067855435+0,19227787033685i</v>
      </c>
      <c r="BD480">
        <f t="shared" si="451"/>
        <v>-14.309421770347386</v>
      </c>
      <c r="BE480" s="43">
        <f t="shared" si="452"/>
        <v>93.010088939810416</v>
      </c>
      <c r="BF480" s="41" t="str">
        <f t="shared" si="453"/>
        <v>0,0832685034398962-0,240904132167186i</v>
      </c>
      <c r="BG480" s="20">
        <f t="shared" si="454"/>
        <v>-11.872975307557255</v>
      </c>
      <c r="BH480" s="43">
        <f t="shared" si="455"/>
        <v>-70.932293421146809</v>
      </c>
      <c r="BI480" s="41" t="str">
        <f t="shared" si="409"/>
        <v>0,368255907996826+0,122937603429771i</v>
      </c>
      <c r="BJ480" s="20">
        <f t="shared" si="456"/>
        <v>-8.2181162984880931</v>
      </c>
      <c r="BK480" s="43">
        <f t="shared" si="410"/>
        <v>18.460938894040456</v>
      </c>
      <c r="BL480">
        <f t="shared" si="457"/>
        <v>-11.872975307557255</v>
      </c>
      <c r="BM480" s="43">
        <f t="shared" si="458"/>
        <v>-70.932293421146809</v>
      </c>
    </row>
    <row r="481" spans="14:65" x14ac:dyDescent="0.25">
      <c r="N481" s="9">
        <v>63</v>
      </c>
      <c r="O481" s="34">
        <f t="shared" si="408"/>
        <v>426579.51880159322</v>
      </c>
      <c r="P481" s="33" t="str">
        <f t="shared" si="411"/>
        <v>54,631621870174</v>
      </c>
      <c r="Q481" s="4" t="str">
        <f t="shared" si="412"/>
        <v>1+11964,4941234174i</v>
      </c>
      <c r="R481" s="4">
        <f t="shared" si="424"/>
        <v>11964.494165207716</v>
      </c>
      <c r="S481" s="4">
        <f t="shared" si="425"/>
        <v>1.5707127461614527</v>
      </c>
      <c r="T481" s="4" t="str">
        <f t="shared" si="413"/>
        <v>1+40,525805852954i</v>
      </c>
      <c r="U481" s="4">
        <f t="shared" si="426"/>
        <v>40.538141793024018</v>
      </c>
      <c r="V481" s="4">
        <f t="shared" si="427"/>
        <v>1.5461256980251554</v>
      </c>
      <c r="W481" t="str">
        <f t="shared" si="414"/>
        <v>1-10,665735011477i</v>
      </c>
      <c r="X481" s="4">
        <f t="shared" si="428"/>
        <v>10.712511532551378</v>
      </c>
      <c r="Y481" s="4">
        <f t="shared" si="429"/>
        <v>-1.4773114278988935</v>
      </c>
      <c r="Z481" t="str">
        <f t="shared" si="415"/>
        <v>0,272119656556002+1,46538572565755i</v>
      </c>
      <c r="AA481" s="4">
        <f t="shared" si="430"/>
        <v>1.4904376647297466</v>
      </c>
      <c r="AB481" s="4">
        <f t="shared" si="431"/>
        <v>1.3871894412464372</v>
      </c>
      <c r="AC481" s="47" t="str">
        <f t="shared" si="432"/>
        <v>-1,28823883485857-0,33238066362689i</v>
      </c>
      <c r="AD481" s="20">
        <f t="shared" si="433"/>
        <v>2.4798214874408608</v>
      </c>
      <c r="AE481" s="43">
        <f t="shared" si="434"/>
        <v>-165.5325443024783</v>
      </c>
      <c r="AF481" t="str">
        <f t="shared" si="416"/>
        <v>171,265703090588</v>
      </c>
      <c r="AG481" t="str">
        <f t="shared" si="417"/>
        <v>1+11849,9937060383i</v>
      </c>
      <c r="AH481">
        <f t="shared" si="435"/>
        <v>11849.993748232415</v>
      </c>
      <c r="AI481">
        <f t="shared" si="436"/>
        <v>1.5707119385646213</v>
      </c>
      <c r="AJ481" t="str">
        <f t="shared" si="418"/>
        <v>1+40,525805852954i</v>
      </c>
      <c r="AK481">
        <f t="shared" si="437"/>
        <v>40.538141793024018</v>
      </c>
      <c r="AL481">
        <f t="shared" si="438"/>
        <v>1.5461256980251554</v>
      </c>
      <c r="AM481" t="str">
        <f t="shared" si="419"/>
        <v>1-3,36967414077318i</v>
      </c>
      <c r="AN481">
        <f t="shared" si="439"/>
        <v>3.5149258619486514</v>
      </c>
      <c r="AO481">
        <f t="shared" si="440"/>
        <v>-1.2823104255730968</v>
      </c>
      <c r="AP481" s="41" t="str">
        <f t="shared" si="441"/>
        <v>0,537178267344458-1,98806523924621i</v>
      </c>
      <c r="AQ481">
        <f t="shared" si="442"/>
        <v>6.2746457427502449</v>
      </c>
      <c r="AR481" s="43">
        <f t="shared" si="443"/>
        <v>-74.879663227967754</v>
      </c>
      <c r="AS481" t="str">
        <f t="shared" si="420"/>
        <v>-0,0000166666666666667</v>
      </c>
      <c r="AT481" t="str">
        <f t="shared" si="421"/>
        <v>0,00410886642675783i</v>
      </c>
      <c r="AU481">
        <f t="shared" si="444"/>
        <v>4.1088664267578297E-3</v>
      </c>
      <c r="AV481">
        <f t="shared" si="445"/>
        <v>1.5707963267948966</v>
      </c>
      <c r="AW481" t="str">
        <f t="shared" si="422"/>
        <v>1+19,0399407798568i</v>
      </c>
      <c r="AX481">
        <f t="shared" si="446"/>
        <v>19.066183280889071</v>
      </c>
      <c r="AY481">
        <f t="shared" si="447"/>
        <v>1.5183233680166299</v>
      </c>
      <c r="AZ481" t="str">
        <f t="shared" si="423"/>
        <v>1+884,49179440971i</v>
      </c>
      <c r="BA481">
        <f t="shared" si="448"/>
        <v>884.49235970589871</v>
      </c>
      <c r="BB481">
        <f t="shared" si="449"/>
        <v>1.5696657345381446</v>
      </c>
      <c r="BC481" s="41" t="str">
        <f t="shared" si="450"/>
        <v>-0,00965699734021062+0,187924926263112i</v>
      </c>
      <c r="BD481">
        <f t="shared" si="451"/>
        <v>-14.508859026399897</v>
      </c>
      <c r="BE481" s="43">
        <f t="shared" si="452"/>
        <v>92.941700911896532</v>
      </c>
      <c r="BF481" s="41" t="str">
        <f t="shared" si="453"/>
        <v>0,0749031307051528-0,238882388865492i</v>
      </c>
      <c r="BG481" s="20">
        <f t="shared" si="454"/>
        <v>-12.029037538959027</v>
      </c>
      <c r="BH481" s="43">
        <f t="shared" si="455"/>
        <v>-72.590843390581767</v>
      </c>
      <c r="BI481" s="41" t="str">
        <f t="shared" si="409"/>
        <v>0,368419484392636+0,120147927008419i</v>
      </c>
      <c r="BJ481" s="20">
        <f t="shared" si="456"/>
        <v>-8.2342132836496482</v>
      </c>
      <c r="BK481" s="43">
        <f t="shared" si="410"/>
        <v>18.06203768392874</v>
      </c>
      <c r="BL481">
        <f t="shared" si="457"/>
        <v>-12.029037538959027</v>
      </c>
      <c r="BM481" s="43">
        <f t="shared" si="458"/>
        <v>-72.590843390581767</v>
      </c>
    </row>
    <row r="482" spans="14:65" x14ac:dyDescent="0.25">
      <c r="N482" s="9">
        <v>64</v>
      </c>
      <c r="O482" s="34">
        <f t="shared" si="408"/>
        <v>436515.83224016649</v>
      </c>
      <c r="P482" s="33" t="str">
        <f t="shared" si="411"/>
        <v>54,631621870174</v>
      </c>
      <c r="Q482" s="4" t="str">
        <f t="shared" si="412"/>
        <v>1+12243,1829926773i</v>
      </c>
      <c r="R482" s="4">
        <f t="shared" si="424"/>
        <v>12243.183033516352</v>
      </c>
      <c r="S482" s="4">
        <f t="shared" si="425"/>
        <v>1.5707146486889356</v>
      </c>
      <c r="T482" s="4" t="str">
        <f t="shared" si="413"/>
        <v>1+41,4697731358581i</v>
      </c>
      <c r="U482" s="4">
        <f t="shared" si="426"/>
        <v>41.481828358204496</v>
      </c>
      <c r="V482" s="4">
        <f t="shared" si="427"/>
        <v>1.5466870499776206</v>
      </c>
      <c r="W482" t="str">
        <f t="shared" si="414"/>
        <v>1-10,9141718947678i</v>
      </c>
      <c r="X482" s="4">
        <f t="shared" si="428"/>
        <v>10.95988814489178</v>
      </c>
      <c r="Y482" s="4">
        <f t="shared" si="429"/>
        <v>-1.4794274440198454</v>
      </c>
      <c r="Z482" t="str">
        <f t="shared" si="415"/>
        <v>0,2378157128147+1,49951894405361i</v>
      </c>
      <c r="AA482" s="4">
        <f t="shared" si="430"/>
        <v>1.5182599832825794</v>
      </c>
      <c r="AB482" s="4">
        <f t="shared" si="431"/>
        <v>1.4135116153197504</v>
      </c>
      <c r="AC482" s="47" t="str">
        <f t="shared" si="432"/>
        <v>-1,30261974528837-0,297624914008514i</v>
      </c>
      <c r="AD482" s="20">
        <f t="shared" si="433"/>
        <v>2.5173523616971476</v>
      </c>
      <c r="AE482" s="43">
        <f t="shared" si="434"/>
        <v>-167.12987848669761</v>
      </c>
      <c r="AF482" t="str">
        <f t="shared" si="416"/>
        <v>171,265703090588</v>
      </c>
      <c r="AG482" t="str">
        <f t="shared" si="417"/>
        <v>1+12126,01551796i</v>
      </c>
      <c r="AH482">
        <f t="shared" si="435"/>
        <v>12126.015559193658</v>
      </c>
      <c r="AI482">
        <f t="shared" si="436"/>
        <v>1.5707138594752521</v>
      </c>
      <c r="AJ482" t="str">
        <f t="shared" si="418"/>
        <v>1+41,4697731358581i</v>
      </c>
      <c r="AK482">
        <f t="shared" si="437"/>
        <v>41.481828358204496</v>
      </c>
      <c r="AL482">
        <f t="shared" si="438"/>
        <v>1.5466870499776206</v>
      </c>
      <c r="AM482" t="str">
        <f t="shared" si="419"/>
        <v>1-3,44816393452286i</v>
      </c>
      <c r="AN482">
        <f t="shared" si="439"/>
        <v>3.5902415683828535</v>
      </c>
      <c r="AO482">
        <f t="shared" si="440"/>
        <v>-1.2885302216767271</v>
      </c>
      <c r="AP482" s="41" t="str">
        <f t="shared" si="441"/>
        <v>0,537178212623473-2,0337096800053i</v>
      </c>
      <c r="AQ482">
        <f t="shared" si="442"/>
        <v>6.4586768346482195</v>
      </c>
      <c r="AR482" s="43">
        <f t="shared" si="443"/>
        <v>-75.203978256511945</v>
      </c>
      <c r="AS482" t="str">
        <f t="shared" si="420"/>
        <v>-0,0000166666666666667</v>
      </c>
      <c r="AT482" t="str">
        <f t="shared" si="421"/>
        <v>0,00420457422071895i</v>
      </c>
      <c r="AU482">
        <f t="shared" si="444"/>
        <v>4.20457422071895E-3</v>
      </c>
      <c r="AV482">
        <f t="shared" si="445"/>
        <v>1.5707963267948966</v>
      </c>
      <c r="AW482" t="str">
        <f t="shared" si="422"/>
        <v>1+19,483437973468i</v>
      </c>
      <c r="AX482">
        <f t="shared" si="446"/>
        <v>19.509083916626501</v>
      </c>
      <c r="AY482">
        <f t="shared" si="447"/>
        <v>1.5195156811797432</v>
      </c>
      <c r="AZ482" t="str">
        <f t="shared" si="423"/>
        <v>1+905,094254949285i</v>
      </c>
      <c r="BA482">
        <f t="shared" si="448"/>
        <v>905.09480737776926</v>
      </c>
      <c r="BB482">
        <f t="shared" si="449"/>
        <v>1.5696914699386866</v>
      </c>
      <c r="BC482" s="41" t="str">
        <f t="shared" si="450"/>
        <v>-0,00922350282714335+0,183669482074712i</v>
      </c>
      <c r="BD482">
        <f t="shared" si="451"/>
        <v>-14.708321541961036</v>
      </c>
      <c r="BE482" s="43">
        <f t="shared" si="452"/>
        <v>92.874860929627431</v>
      </c>
      <c r="BF482" s="41" t="str">
        <f t="shared" si="453"/>
        <v>0,0666793307118345-0,236506349721622i</v>
      </c>
      <c r="BG482" s="20">
        <f t="shared" si="454"/>
        <v>-12.190969180263899</v>
      </c>
      <c r="BH482" s="43">
        <f t="shared" si="455"/>
        <v>-74.255017557070133</v>
      </c>
      <c r="BI482" s="41" t="str">
        <f t="shared" si="409"/>
        <v>0,368575738854089+0,11742117107749i</v>
      </c>
      <c r="BJ482" s="20">
        <f t="shared" si="456"/>
        <v>-8.249644707312827</v>
      </c>
      <c r="BK482" s="43">
        <f t="shared" si="410"/>
        <v>17.670882673115429</v>
      </c>
      <c r="BL482">
        <f t="shared" si="457"/>
        <v>-12.190969180263899</v>
      </c>
      <c r="BM482" s="43">
        <f t="shared" si="458"/>
        <v>-74.255017557070133</v>
      </c>
    </row>
    <row r="483" spans="14:65" x14ac:dyDescent="0.25">
      <c r="N483" s="9">
        <v>65</v>
      </c>
      <c r="O483" s="34">
        <f t="shared" si="408"/>
        <v>446683.59215096442</v>
      </c>
      <c r="P483" s="33" t="str">
        <f t="shared" si="411"/>
        <v>54,631621870174</v>
      </c>
      <c r="Q483" s="4" t="str">
        <f t="shared" si="412"/>
        <v>1+12528,3633596176i</v>
      </c>
      <c r="R483" s="4">
        <f t="shared" si="424"/>
        <v>12528.363399527043</v>
      </c>
      <c r="S483" s="4">
        <f t="shared" si="425"/>
        <v>1.5707165079096064</v>
      </c>
      <c r="T483" s="4" t="str">
        <f t="shared" si="413"/>
        <v>1+42,4357282413965i</v>
      </c>
      <c r="U483" s="4">
        <f t="shared" si="426"/>
        <v>42.447509130426674</v>
      </c>
      <c r="V483" s="4">
        <f t="shared" si="427"/>
        <v>1.5472356386850297</v>
      </c>
      <c r="W483" t="str">
        <f t="shared" si="414"/>
        <v>1-11,1683956164635i</v>
      </c>
      <c r="X483" s="4">
        <f t="shared" si="428"/>
        <v>11.213075432094493</v>
      </c>
      <c r="Y483" s="4">
        <f t="shared" si="429"/>
        <v>-1.481496086869913</v>
      </c>
      <c r="Z483" t="str">
        <f t="shared" si="415"/>
        <v>0,201895074012441+1,5344472272423i</v>
      </c>
      <c r="AA483" s="4">
        <f t="shared" si="430"/>
        <v>1.5476724182145496</v>
      </c>
      <c r="AB483" s="4">
        <f t="shared" si="431"/>
        <v>1.4399726955471868</v>
      </c>
      <c r="AC483" s="47" t="str">
        <f t="shared" si="432"/>
        <v>-1,31521342035007-0,262013473561749i</v>
      </c>
      <c r="AD483" s="20">
        <f t="shared" si="433"/>
        <v>2.5489532583478152</v>
      </c>
      <c r="AE483" s="43">
        <f t="shared" si="434"/>
        <v>-168.73318591759005</v>
      </c>
      <c r="AF483" t="str">
        <f t="shared" si="416"/>
        <v>171,265703090588</v>
      </c>
      <c r="AG483" t="str">
        <f t="shared" si="417"/>
        <v>1+12408,4667038162i</v>
      </c>
      <c r="AH483">
        <f t="shared" si="435"/>
        <v>12408.466744111267</v>
      </c>
      <c r="AI483">
        <f t="shared" si="436"/>
        <v>1.5707157366606195</v>
      </c>
      <c r="AJ483" t="str">
        <f t="shared" si="418"/>
        <v>1+42,4357282413965i</v>
      </c>
      <c r="AK483">
        <f t="shared" si="437"/>
        <v>42.447509130426674</v>
      </c>
      <c r="AL483">
        <f t="shared" si="438"/>
        <v>1.5472356386850297</v>
      </c>
      <c r="AM483" t="str">
        <f t="shared" si="419"/>
        <v>1-3,52848199043248i</v>
      </c>
      <c r="AN483">
        <f t="shared" si="439"/>
        <v>3.6674494075319366</v>
      </c>
      <c r="AO483">
        <f t="shared" si="440"/>
        <v>-1.2946301970094398</v>
      </c>
      <c r="AP483" s="41" t="str">
        <f t="shared" si="441"/>
        <v>0,53717816036534-2,08043242055567i</v>
      </c>
      <c r="AQ483">
        <f t="shared" si="442"/>
        <v>6.6433724516590384</v>
      </c>
      <c r="AR483" s="43">
        <f t="shared" si="443"/>
        <v>-75.522156835386141</v>
      </c>
      <c r="AS483" t="str">
        <f t="shared" si="420"/>
        <v>-0,0000166666666666667</v>
      </c>
      <c r="AT483" t="str">
        <f t="shared" si="421"/>
        <v>0,00430251133558603i</v>
      </c>
      <c r="AU483">
        <f t="shared" si="444"/>
        <v>4.3025113355860296E-3</v>
      </c>
      <c r="AV483">
        <f t="shared" si="445"/>
        <v>1.5707963267948966</v>
      </c>
      <c r="AW483" t="str">
        <f t="shared" si="422"/>
        <v>1+19,9372655437866i</v>
      </c>
      <c r="AX483">
        <f t="shared" si="446"/>
        <v>19.962328455454799</v>
      </c>
      <c r="AY483">
        <f t="shared" si="447"/>
        <v>1.5206809950089362</v>
      </c>
      <c r="AZ483" t="str">
        <f t="shared" si="423"/>
        <v>1+926,176608443176i</v>
      </c>
      <c r="BA483">
        <f t="shared" si="448"/>
        <v>926.17714829686008</v>
      </c>
      <c r="BB483">
        <f t="shared" si="449"/>
        <v>1.5697166195314065</v>
      </c>
      <c r="BC483" s="41" t="str">
        <f t="shared" si="450"/>
        <v>-0,00880941855277815+0,179509423598532i</v>
      </c>
      <c r="BD483">
        <f t="shared" si="451"/>
        <v>-14.907808186145745</v>
      </c>
      <c r="BE483" s="43">
        <f t="shared" si="452"/>
        <v>92.809534330925771</v>
      </c>
      <c r="BF483" s="41" t="str">
        <f t="shared" si="453"/>
        <v>0,0586201531202135-0,233785016641022i</v>
      </c>
      <c r="BG483" s="20">
        <f t="shared" si="454"/>
        <v>-12.358854927797934</v>
      </c>
      <c r="BH483" s="43">
        <f t="shared" si="455"/>
        <v>-75.923651586664278</v>
      </c>
      <c r="BI483" s="41" t="str">
        <f t="shared" si="409"/>
        <v>0,368724997397577+0,114755941900346i</v>
      </c>
      <c r="BJ483" s="20">
        <f t="shared" si="456"/>
        <v>-8.2644357344867121</v>
      </c>
      <c r="BK483" s="43">
        <f t="shared" si="410"/>
        <v>17.287377495539605</v>
      </c>
      <c r="BL483">
        <f t="shared" si="457"/>
        <v>-12.358854927797934</v>
      </c>
      <c r="BM483" s="43">
        <f t="shared" si="458"/>
        <v>-75.923651586664278</v>
      </c>
    </row>
    <row r="484" spans="14:65" x14ac:dyDescent="0.25">
      <c r="N484" s="9">
        <v>66</v>
      </c>
      <c r="O484" s="34">
        <f t="shared" ref="O484:O518" si="459">10^(5+(N484/100))</f>
        <v>457088.18961487547</v>
      </c>
      <c r="P484" s="33" t="str">
        <f t="shared" si="411"/>
        <v>54,631621870174</v>
      </c>
      <c r="Q484" s="4" t="str">
        <f t="shared" si="412"/>
        <v>1+12820,1864306436i</v>
      </c>
      <c r="R484" s="4">
        <f t="shared" si="424"/>
        <v>12820.186469644592</v>
      </c>
      <c r="S484" s="4">
        <f t="shared" si="425"/>
        <v>1.5707183248092482</v>
      </c>
      <c r="T484" s="4" t="str">
        <f t="shared" si="413"/>
        <v>1+43,4241833317514i</v>
      </c>
      <c r="U484" s="4">
        <f t="shared" si="426"/>
        <v>43.435696126913363</v>
      </c>
      <c r="V484" s="4">
        <f t="shared" si="427"/>
        <v>1.5477717536948385</v>
      </c>
      <c r="W484" t="str">
        <f t="shared" si="414"/>
        <v>1-11,4285409693462i</v>
      </c>
      <c r="X484" s="4">
        <f t="shared" si="428"/>
        <v>11.472207664090838</v>
      </c>
      <c r="Y484" s="4">
        <f t="shared" si="429"/>
        <v>-1.4835183824132776</v>
      </c>
      <c r="Z484" t="str">
        <f t="shared" si="415"/>
        <v>0,164281547658382+1,57018909466168i</v>
      </c>
      <c r="AA484" s="4">
        <f t="shared" si="430"/>
        <v>1.5787597093590586</v>
      </c>
      <c r="AB484" s="4">
        <f t="shared" si="431"/>
        <v>1.466550270729565</v>
      </c>
      <c r="AC484" s="47" t="str">
        <f t="shared" si="432"/>
        <v>-1,32594981005534-0,225666965625315i</v>
      </c>
      <c r="AD484" s="20">
        <f t="shared" si="433"/>
        <v>2.5745500639784065</v>
      </c>
      <c r="AE484" s="43">
        <f t="shared" si="434"/>
        <v>-170.34122477808049</v>
      </c>
      <c r="AF484" t="str">
        <f t="shared" si="416"/>
        <v>171,265703090588</v>
      </c>
      <c r="AG484" t="str">
        <f t="shared" si="417"/>
        <v>1+12697,4970229642i</v>
      </c>
      <c r="AH484">
        <f t="shared" si="435"/>
        <v>12697.497062342038</v>
      </c>
      <c r="AI484">
        <f t="shared" si="436"/>
        <v>1.5707175711160315</v>
      </c>
      <c r="AJ484" t="str">
        <f t="shared" si="418"/>
        <v>1+43,4241833317514i</v>
      </c>
      <c r="AK484">
        <f t="shared" si="437"/>
        <v>43.435696126913363</v>
      </c>
      <c r="AL484">
        <f t="shared" si="438"/>
        <v>1.5477717536948385</v>
      </c>
      <c r="AM484" t="str">
        <f t="shared" si="419"/>
        <v>1-3,6106708941984i</v>
      </c>
      <c r="AN484">
        <f t="shared" si="439"/>
        <v>3.7465910246798324</v>
      </c>
      <c r="AO484">
        <f t="shared" si="440"/>
        <v>-1.3006117693278085</v>
      </c>
      <c r="AP484" s="41" t="str">
        <f t="shared" si="441"/>
        <v>0,537178110459205-2,12825823391279i</v>
      </c>
      <c r="AQ484">
        <f t="shared" si="442"/>
        <v>6.8287071065656519</v>
      </c>
      <c r="AR484" s="43">
        <f t="shared" si="443"/>
        <v>-75.83426366323809</v>
      </c>
      <c r="AS484" t="str">
        <f t="shared" si="420"/>
        <v>-0,0000166666666666667</v>
      </c>
      <c r="AT484" t="str">
        <f t="shared" si="421"/>
        <v>0,00440272969891368i</v>
      </c>
      <c r="AU484">
        <f t="shared" si="444"/>
        <v>4.4027296989136797E-3</v>
      </c>
      <c r="AV484">
        <f t="shared" si="445"/>
        <v>1.5707963267948966</v>
      </c>
      <c r="AW484" t="str">
        <f t="shared" si="422"/>
        <v>1+20,4016641161973i</v>
      </c>
      <c r="AX484">
        <f t="shared" si="446"/>
        <v>20.426157218383796</v>
      </c>
      <c r="AY484">
        <f t="shared" si="447"/>
        <v>1.5218199147022764</v>
      </c>
      <c r="AZ484" t="str">
        <f t="shared" si="423"/>
        <v>1+947,750033034255i</v>
      </c>
      <c r="BA484">
        <f t="shared" si="448"/>
        <v>947.75056059937606</v>
      </c>
      <c r="BB484">
        <f t="shared" si="449"/>
        <v>1.5697411966508241</v>
      </c>
      <c r="BC484" s="41" t="str">
        <f t="shared" si="450"/>
        <v>-0,00841387969901238+0,17544267783078i</v>
      </c>
      <c r="BD484">
        <f t="shared" si="451"/>
        <v>-15.107317878443077</v>
      </c>
      <c r="BE484" s="43">
        <f t="shared" si="452"/>
        <v>92.745687204508243</v>
      </c>
      <c r="BF484" s="41" t="str">
        <f t="shared" si="453"/>
        <v>0,0507479989359858-0,23072945064451i</v>
      </c>
      <c r="BG484" s="20">
        <f t="shared" si="454"/>
        <v>-12.532767814464682</v>
      </c>
      <c r="BH484" s="43">
        <f t="shared" si="455"/>
        <v>-77.595537573572216</v>
      </c>
      <c r="BI484" s="41" t="str">
        <f t="shared" si="409"/>
        <v>0,36886757167472+0,112150874919616i</v>
      </c>
      <c r="BJ484" s="20">
        <f t="shared" si="456"/>
        <v>-8.2786107718774211</v>
      </c>
      <c r="BK484" s="43">
        <f t="shared" si="410"/>
        <v>16.911423541270114</v>
      </c>
      <c r="BL484">
        <f t="shared" si="457"/>
        <v>-12.532767814464682</v>
      </c>
      <c r="BM484" s="43">
        <f t="shared" si="458"/>
        <v>-77.595537573572216</v>
      </c>
    </row>
    <row r="485" spans="14:65" x14ac:dyDescent="0.25">
      <c r="N485" s="9">
        <v>67</v>
      </c>
      <c r="O485" s="34">
        <f t="shared" si="459"/>
        <v>467735.14128719864</v>
      </c>
      <c r="P485" s="33" t="str">
        <f t="shared" si="411"/>
        <v>54,631621870174</v>
      </c>
      <c r="Q485" s="4" t="str">
        <f t="shared" si="412"/>
        <v>1+13118,8069342104i</v>
      </c>
      <c r="R485" s="4">
        <f t="shared" si="424"/>
        <v>13118.806972323622</v>
      </c>
      <c r="S485" s="4">
        <f t="shared" si="425"/>
        <v>1.5707201003512057</v>
      </c>
      <c r="T485" s="4" t="str">
        <f t="shared" si="413"/>
        <v>1+44,4356624988958i</v>
      </c>
      <c r="U485" s="4">
        <f t="shared" si="426"/>
        <v>44.446913297953259</v>
      </c>
      <c r="V485" s="4">
        <f t="shared" si="427"/>
        <v>1.5482956780288977</v>
      </c>
      <c r="W485" t="str">
        <f t="shared" si="414"/>
        <v>1-11,6947458859254i</v>
      </c>
      <c r="X485" s="4">
        <f t="shared" si="428"/>
        <v>11.737422261142736</v>
      </c>
      <c r="Y485" s="4">
        <f t="shared" si="429"/>
        <v>-1.4854953366968258</v>
      </c>
      <c r="Z485" t="str">
        <f t="shared" si="415"/>
        <v>0,124895350420179+1,60676349712296i</v>
      </c>
      <c r="AA485" s="4">
        <f t="shared" si="430"/>
        <v>1.6116103078112227</v>
      </c>
      <c r="AB485" s="4">
        <f t="shared" si="431"/>
        <v>1.4932213041958662</v>
      </c>
      <c r="AC485" s="47" t="str">
        <f t="shared" si="432"/>
        <v>-1,33476959338955-0,18871303913343i</v>
      </c>
      <c r="AD485" s="20">
        <f t="shared" si="433"/>
        <v>2.5940810028723993</v>
      </c>
      <c r="AE485" s="43">
        <f t="shared" si="434"/>
        <v>-171.95271664562404</v>
      </c>
      <c r="AF485" t="str">
        <f t="shared" si="416"/>
        <v>171,265703090588</v>
      </c>
      <c r="AG485" t="str">
        <f t="shared" si="417"/>
        <v>1+12993,259723105i</v>
      </c>
      <c r="AH485">
        <f t="shared" si="435"/>
        <v>12993.259761586491</v>
      </c>
      <c r="AI485">
        <f t="shared" si="436"/>
        <v>1.5707193638141408</v>
      </c>
      <c r="AJ485" t="str">
        <f t="shared" si="418"/>
        <v>1+44,4356624988958i</v>
      </c>
      <c r="AK485">
        <f t="shared" si="437"/>
        <v>44.446913297953259</v>
      </c>
      <c r="AL485">
        <f t="shared" si="438"/>
        <v>1.5482956780288977</v>
      </c>
      <c r="AM485" t="str">
        <f t="shared" si="419"/>
        <v>1-3,6947742234653i</v>
      </c>
      <c r="AN485">
        <f t="shared" si="439"/>
        <v>3.8277090488154415</v>
      </c>
      <c r="AO485">
        <f t="shared" si="440"/>
        <v>-1.3064763973362179</v>
      </c>
      <c r="AP485" s="41" t="str">
        <f t="shared" si="441"/>
        <v>0,537178062799219-2,17721247795601i</v>
      </c>
      <c r="AQ485">
        <f t="shared" si="442"/>
        <v>7.0146561119056363</v>
      </c>
      <c r="AR485" s="43">
        <f t="shared" si="443"/>
        <v>-76.140366157443964</v>
      </c>
      <c r="AS485" t="str">
        <f t="shared" si="420"/>
        <v>-0,0000166666666666667</v>
      </c>
      <c r="AT485" t="str">
        <f t="shared" si="421"/>
        <v>0,00450528244780472i</v>
      </c>
      <c r="AU485">
        <f t="shared" si="444"/>
        <v>4.5052824478047197E-3</v>
      </c>
      <c r="AV485">
        <f t="shared" si="445"/>
        <v>1.5707963267948966</v>
      </c>
      <c r="AW485" t="str">
        <f t="shared" si="422"/>
        <v>1+20,8768799209704i</v>
      </c>
      <c r="AX485">
        <f t="shared" si="446"/>
        <v>20.90081613800325</v>
      </c>
      <c r="AY485">
        <f t="shared" si="447"/>
        <v>1.522933032304659</v>
      </c>
      <c r="AZ485" t="str">
        <f t="shared" si="423"/>
        <v>1+969,825967237806i</v>
      </c>
      <c r="BA485">
        <f t="shared" si="448"/>
        <v>969.82648279408522</v>
      </c>
      <c r="BB485">
        <f t="shared" si="449"/>
        <v>1.5697652143279346</v>
      </c>
      <c r="BC485" s="41" t="str">
        <f t="shared" si="450"/>
        <v>-0,00803605960202392+0,171467212456927i</v>
      </c>
      <c r="BD485">
        <f t="shared" si="451"/>
        <v>-15.306849586494952</v>
      </c>
      <c r="BE485" s="43">
        <f t="shared" si="452"/>
        <v>92.683286375322126</v>
      </c>
      <c r="BF485" s="41" t="str">
        <f t="shared" si="453"/>
        <v>0,0430843867819319-0,227352712220617i</v>
      </c>
      <c r="BG485" s="20">
        <f t="shared" si="454"/>
        <v>-12.712768583622546</v>
      </c>
      <c r="BH485" s="43">
        <f t="shared" si="455"/>
        <v>-79.269430270301925</v>
      </c>
      <c r="BI485" s="41" t="str">
        <f t="shared" si="409"/>
        <v>0,369003759592001+0,109604634260319i</v>
      </c>
      <c r="BJ485" s="20">
        <f t="shared" si="456"/>
        <v>-8.2921934745893253</v>
      </c>
      <c r="BK485" s="43">
        <f t="shared" si="410"/>
        <v>16.542920217878216</v>
      </c>
      <c r="BL485">
        <f t="shared" si="457"/>
        <v>-12.712768583622546</v>
      </c>
      <c r="BM485" s="43">
        <f t="shared" si="458"/>
        <v>-79.269430270301925</v>
      </c>
    </row>
    <row r="486" spans="14:65" x14ac:dyDescent="0.25">
      <c r="N486" s="9">
        <v>68</v>
      </c>
      <c r="O486" s="34">
        <f t="shared" si="459"/>
        <v>478630.09232263872</v>
      </c>
      <c r="P486" s="33" t="str">
        <f t="shared" si="411"/>
        <v>54,631621870174</v>
      </c>
      <c r="Q486" s="4" t="str">
        <f t="shared" si="412"/>
        <v>1+13424,3832028617i</v>
      </c>
      <c r="R486" s="4">
        <f t="shared" si="424"/>
        <v>13424.383240107358</v>
      </c>
      <c r="S486" s="4">
        <f t="shared" si="425"/>
        <v>1.5707218354768941</v>
      </c>
      <c r="T486" s="4" t="str">
        <f t="shared" si="413"/>
        <v>1+45,4707020424729i</v>
      </c>
      <c r="U486" s="4">
        <f t="shared" si="426"/>
        <v>45.481696804707596</v>
      </c>
      <c r="V486" s="4">
        <f t="shared" si="427"/>
        <v>1.5488076883276403</v>
      </c>
      <c r="W486" t="str">
        <f t="shared" si="414"/>
        <v>1-11,9671515115717i</v>
      </c>
      <c r="X486" s="4">
        <f t="shared" si="428"/>
        <v>12.008859866819698</v>
      </c>
      <c r="Y486" s="4">
        <f t="shared" si="429"/>
        <v>-1.4874279360805791</v>
      </c>
      <c r="Z486" t="str">
        <f t="shared" si="415"/>
        <v>0,08365293889289+1,64418982685844i</v>
      </c>
      <c r="AA486" s="4">
        <f t="shared" si="430"/>
        <v>1.6463164947634477</v>
      </c>
      <c r="AB486" s="4">
        <f t="shared" si="431"/>
        <v>1.5199622508465758</v>
      </c>
      <c r="AC486" s="47" t="str">
        <f t="shared" si="432"/>
        <v>-1,34162501697016-0,151285188523483i</v>
      </c>
      <c r="AD486" s="20">
        <f t="shared" si="433"/>
        <v>2.6074971618082636</v>
      </c>
      <c r="AE486" s="43">
        <f t="shared" si="434"/>
        <v>-173.5663532032666</v>
      </c>
      <c r="AF486" t="str">
        <f t="shared" si="416"/>
        <v>171,265703090588</v>
      </c>
      <c r="AG486" t="str">
        <f t="shared" si="417"/>
        <v>1+13295,9116215371i</v>
      </c>
      <c r="AH486">
        <f t="shared" si="435"/>
        <v>13295.911659142645</v>
      </c>
      <c r="AI486">
        <f t="shared" si="436"/>
        <v>1.5707211157054595</v>
      </c>
      <c r="AJ486" t="str">
        <f t="shared" si="418"/>
        <v>1+45,4707020424729i</v>
      </c>
      <c r="AK486">
        <f t="shared" si="437"/>
        <v>45.481696804707596</v>
      </c>
      <c r="AL486">
        <f t="shared" si="438"/>
        <v>1.5488076883276403</v>
      </c>
      <c r="AM486" t="str">
        <f t="shared" si="419"/>
        <v>1-3,78083657093161i</v>
      </c>
      <c r="AN486">
        <f t="shared" si="439"/>
        <v>3.9108471174534416</v>
      </c>
      <c r="AO486">
        <f t="shared" si="440"/>
        <v>-1.3122255762310877</v>
      </c>
      <c r="AP486" s="41" t="str">
        <f t="shared" si="441"/>
        <v>0,537178017284288-2,22732110887356i</v>
      </c>
      <c r="AQ486">
        <f t="shared" si="442"/>
        <v>7.2011955696534633</v>
      </c>
      <c r="AR486" s="43">
        <f t="shared" si="443"/>
        <v>-76.440534190579314</v>
      </c>
      <c r="AS486" t="str">
        <f t="shared" si="420"/>
        <v>-0,0000166666666666667</v>
      </c>
      <c r="AT486" t="str">
        <f t="shared" si="421"/>
        <v>0,00461022395708405i</v>
      </c>
      <c r="AU486">
        <f t="shared" si="444"/>
        <v>4.6102239570840501E-3</v>
      </c>
      <c r="AV486">
        <f t="shared" si="445"/>
        <v>1.5707963267948966</v>
      </c>
      <c r="AW486" t="str">
        <f t="shared" si="422"/>
        <v>1+21,3631649238158i</v>
      </c>
      <c r="AX486">
        <f t="shared" si="446"/>
        <v>21.386556888899946</v>
      </c>
      <c r="AY486">
        <f t="shared" si="447"/>
        <v>1.5240209269660046</v>
      </c>
      <c r="AZ486" t="str">
        <f t="shared" si="423"/>
        <v>1+992,416116006351i</v>
      </c>
      <c r="BA486">
        <f t="shared" si="448"/>
        <v>992.41661982714254</v>
      </c>
      <c r="BB486">
        <f t="shared" si="449"/>
        <v>1.5697886852971175</v>
      </c>
      <c r="BC486" s="41" t="str">
        <f t="shared" si="450"/>
        <v>-0,00767516810216832+0,167581035352845i</v>
      </c>
      <c r="BD486">
        <f t="shared" si="451"/>
        <v>-15.506402323970462</v>
      </c>
      <c r="BE486" s="43">
        <f t="shared" si="452"/>
        <v>92.622299390147475</v>
      </c>
      <c r="BF486" s="41" t="str">
        <f t="shared" si="453"/>
        <v>0,035649726061636-0,223669770145852i</v>
      </c>
      <c r="BG486" s="20">
        <f t="shared" si="454"/>
        <v>-12.898905162162187</v>
      </c>
      <c r="BH486" s="43">
        <f t="shared" si="455"/>
        <v>-80.94405381311914</v>
      </c>
      <c r="BI486" s="41" t="str">
        <f t="shared" si="409"/>
        <v>0,369133845904832+0,107115912233402i</v>
      </c>
      <c r="BJ486" s="20">
        <f t="shared" si="456"/>
        <v>-8.3052067543169912</v>
      </c>
      <c r="BK486" s="43">
        <f t="shared" si="410"/>
        <v>16.181765199568165</v>
      </c>
      <c r="BL486">
        <f t="shared" si="457"/>
        <v>-12.898905162162187</v>
      </c>
      <c r="BM486" s="43">
        <f t="shared" si="458"/>
        <v>-80.94405381311914</v>
      </c>
    </row>
    <row r="487" spans="14:65" x14ac:dyDescent="0.25">
      <c r="N487" s="9">
        <v>69</v>
      </c>
      <c r="O487" s="34">
        <f t="shared" si="459"/>
        <v>489778.81936844654</v>
      </c>
      <c r="P487" s="33" t="str">
        <f t="shared" si="411"/>
        <v>54,631621870174</v>
      </c>
      <c r="Q487" s="4" t="str">
        <f t="shared" si="412"/>
        <v>1+13737,0772571799i</v>
      </c>
      <c r="R487" s="4">
        <f t="shared" si="424"/>
        <v>13737.077293577744</v>
      </c>
      <c r="S487" s="4">
        <f t="shared" si="425"/>
        <v>1.5707235311063006</v>
      </c>
      <c r="T487" s="4" t="str">
        <f t="shared" si="413"/>
        <v>1+46,5298507541487i</v>
      </c>
      <c r="U487" s="4">
        <f t="shared" si="426"/>
        <v>46.540595303491251</v>
      </c>
      <c r="V487" s="4">
        <f t="shared" si="427"/>
        <v>1.5493080549912819</v>
      </c>
      <c r="W487" t="str">
        <f t="shared" si="414"/>
        <v>1-12,2459022793534i</v>
      </c>
      <c r="X487" s="4">
        <f t="shared" si="428"/>
        <v>12.286664422676841</v>
      </c>
      <c r="Y487" s="4">
        <f t="shared" si="429"/>
        <v>-1.4893171474770677</v>
      </c>
      <c r="Z487" t="str">
        <f t="shared" si="415"/>
        <v>0,0404668323921999+1,68248792780355i</v>
      </c>
      <c r="AA487" s="4">
        <f t="shared" si="430"/>
        <v>1.6829745071534929</v>
      </c>
      <c r="AB487" s="4">
        <f t="shared" si="431"/>
        <v>1.5467491813528083</v>
      </c>
      <c r="AC487" s="47" t="str">
        <f t="shared" si="432"/>
        <v>-1,34648057677361-0,113521457964962i</v>
      </c>
      <c r="AD487" s="20">
        <f t="shared" si="433"/>
        <v>2.6147629053556436</v>
      </c>
      <c r="AE487" s="43">
        <f t="shared" si="434"/>
        <v>-175.18080336138362</v>
      </c>
      <c r="AF487" t="str">
        <f t="shared" si="416"/>
        <v>171,265703090588</v>
      </c>
      <c r="AG487" t="str">
        <f t="shared" si="417"/>
        <v>1+13605,6131883032i</v>
      </c>
      <c r="AH487">
        <f t="shared" si="435"/>
        <v>13605.613225052735</v>
      </c>
      <c r="AI487">
        <f t="shared" si="436"/>
        <v>1.5707228277188638</v>
      </c>
      <c r="AJ487" t="str">
        <f t="shared" si="418"/>
        <v>1+46,5298507541487i</v>
      </c>
      <c r="AK487">
        <f t="shared" si="437"/>
        <v>46.540595303491251</v>
      </c>
      <c r="AL487">
        <f t="shared" si="438"/>
        <v>1.5493080549912819</v>
      </c>
      <c r="AM487" t="str">
        <f t="shared" si="419"/>
        <v>1-3,86890356799312i</v>
      </c>
      <c r="AN487">
        <f t="shared" si="439"/>
        <v>3.9960499018943567</v>
      </c>
      <c r="AO487">
        <f t="shared" si="440"/>
        <v>-1.317860833457678</v>
      </c>
      <c r="AP487" s="41" t="str">
        <f t="shared" si="441"/>
        <v>0,537177973817863-2,27861069492477i</v>
      </c>
      <c r="AQ487">
        <f t="shared" si="442"/>
        <v>7.388302359662533</v>
      </c>
      <c r="AR487" s="43">
        <f t="shared" si="443"/>
        <v>-76.734839839240308</v>
      </c>
      <c r="AS487" t="str">
        <f t="shared" si="420"/>
        <v>-0,0000166666666666667</v>
      </c>
      <c r="AT487" t="str">
        <f t="shared" si="421"/>
        <v>0,00471760986812896i</v>
      </c>
      <c r="AU487">
        <f t="shared" si="444"/>
        <v>4.7176098681289604E-3</v>
      </c>
      <c r="AV487">
        <f t="shared" si="445"/>
        <v>1.5707963267948966</v>
      </c>
      <c r="AW487" t="str">
        <f t="shared" si="422"/>
        <v>1+21,8607769594787i</v>
      </c>
      <c r="AX487">
        <f t="shared" si="446"/>
        <v>21.883637021118652</v>
      </c>
      <c r="AY487">
        <f t="shared" si="447"/>
        <v>1.5250841651962901</v>
      </c>
      <c r="AZ487" t="str">
        <f t="shared" si="423"/>
        <v>1+1015,53245693578i</v>
      </c>
      <c r="BA487">
        <f t="shared" si="448"/>
        <v>1015.5329492882159</v>
      </c>
      <c r="BB487">
        <f t="shared" si="449"/>
        <v>1.5698116220028875</v>
      </c>
      <c r="BC487" s="41" t="str">
        <f t="shared" si="450"/>
        <v>-0,00733044996230538+0,163782194069458i</v>
      </c>
      <c r="BD487">
        <f t="shared" si="451"/>
        <v>-15.705975148532582</v>
      </c>
      <c r="BE487" s="43">
        <f t="shared" si="452"/>
        <v>92.562694503371716</v>
      </c>
      <c r="BF487" s="41" t="str">
        <f t="shared" si="453"/>
        <v>0,0284631019527203-0,219697379768631i</v>
      </c>
      <c r="BG487" s="20">
        <f t="shared" si="454"/>
        <v>-13.09121224317694</v>
      </c>
      <c r="BH487" s="43">
        <f t="shared" si="455"/>
        <v>-82.618108858011908</v>
      </c>
      <c r="BI487" s="41" t="str">
        <f t="shared" si="409"/>
        <v>0,369258102786987+0,104683428840395i</v>
      </c>
      <c r="BJ487" s="20">
        <f t="shared" si="456"/>
        <v>-8.3176727888700466</v>
      </c>
      <c r="BK487" s="43">
        <f t="shared" si="410"/>
        <v>15.827854664131358</v>
      </c>
      <c r="BL487">
        <f t="shared" si="457"/>
        <v>-13.09121224317694</v>
      </c>
      <c r="BM487" s="43">
        <f t="shared" si="458"/>
        <v>-82.618108858011908</v>
      </c>
    </row>
    <row r="488" spans="14:65" x14ac:dyDescent="0.25">
      <c r="N488" s="9">
        <v>70</v>
      </c>
      <c r="O488" s="34">
        <f t="shared" si="459"/>
        <v>501187.23362727347</v>
      </c>
      <c r="P488" s="33" t="str">
        <f t="shared" si="411"/>
        <v>54,631621870174</v>
      </c>
      <c r="Q488" s="4" t="str">
        <f t="shared" si="412"/>
        <v>1+14057,0548916915i</v>
      </c>
      <c r="R488" s="4">
        <f t="shared" si="424"/>
        <v>14057.054927260826</v>
      </c>
      <c r="S488" s="4">
        <f t="shared" si="425"/>
        <v>1.5707251881384698</v>
      </c>
      <c r="T488" s="4" t="str">
        <f t="shared" si="413"/>
        <v>1+47,6136702085898i</v>
      </c>
      <c r="U488" s="4">
        <f t="shared" si="426"/>
        <v>47.62417023668079</v>
      </c>
      <c r="V488" s="4">
        <f t="shared" si="427"/>
        <v>1.5497970423180747</v>
      </c>
      <c r="W488" t="str">
        <f t="shared" si="414"/>
        <v>1-12,5311459866172i</v>
      </c>
      <c r="X488" s="4">
        <f t="shared" si="428"/>
        <v>12.570983244675508</v>
      </c>
      <c r="Y488" s="4">
        <f t="shared" si="429"/>
        <v>-1.4911639185985803</v>
      </c>
      <c r="Z488" t="str">
        <f t="shared" si="415"/>
        <v>-0,00475457260384005+1,72167810611834i</v>
      </c>
      <c r="AA488" s="4">
        <f t="shared" si="430"/>
        <v>1.7216846712008211</v>
      </c>
      <c r="AB488" s="4">
        <f t="shared" si="431"/>
        <v>1.5735579118439578</v>
      </c>
      <c r="AC488" s="47" t="str">
        <f t="shared" si="432"/>
        <v>-1,3493135249072-0,0755630545419197i</v>
      </c>
      <c r="AD488" s="20">
        <f t="shared" si="433"/>
        <v>2.6158561732538206</v>
      </c>
      <c r="AE488" s="43">
        <f t="shared" si="434"/>
        <v>-176.7947206945087</v>
      </c>
      <c r="AF488" t="str">
        <f t="shared" si="416"/>
        <v>171,265703090588</v>
      </c>
      <c r="AG488" t="str">
        <f t="shared" si="417"/>
        <v>1+13922,5286312733i</v>
      </c>
      <c r="AH488">
        <f t="shared" si="435"/>
        <v>13922.528667186318</v>
      </c>
      <c r="AI488">
        <f t="shared" si="436"/>
        <v>1.5707245007620858</v>
      </c>
      <c r="AJ488" t="str">
        <f t="shared" si="418"/>
        <v>1+47,6136702085898i</v>
      </c>
      <c r="AK488">
        <f t="shared" si="437"/>
        <v>47.62417023668079</v>
      </c>
      <c r="AL488">
        <f t="shared" si="438"/>
        <v>1.5497970423180747</v>
      </c>
      <c r="AM488" t="str">
        <f t="shared" si="419"/>
        <v>1-3,95902190893737i</v>
      </c>
      <c r="AN488">
        <f t="shared" si="439"/>
        <v>4.0833631329390849</v>
      </c>
      <c r="AO488">
        <f t="shared" si="440"/>
        <v>-1.3233837246775564</v>
      </c>
      <c r="AP488" s="41" t="str">
        <f t="shared" si="441"/>
        <v>0,53717793230775-2,33110843052714i</v>
      </c>
      <c r="AQ488">
        <f t="shared" si="442"/>
        <v>7.575954127013854</v>
      </c>
      <c r="AR488" s="43">
        <f t="shared" si="443"/>
        <v>-77.023357145104185</v>
      </c>
      <c r="AS488" t="str">
        <f t="shared" si="420"/>
        <v>-0,0000166666666666667</v>
      </c>
      <c r="AT488" t="str">
        <f t="shared" si="421"/>
        <v>0,00482749711837091i</v>
      </c>
      <c r="AU488">
        <f t="shared" si="444"/>
        <v>4.8274971183709103E-3</v>
      </c>
      <c r="AV488">
        <f t="shared" si="445"/>
        <v>1.5707963267948966</v>
      </c>
      <c r="AW488" t="str">
        <f t="shared" si="422"/>
        <v>1+22,3699798684472i</v>
      </c>
      <c r="AX488">
        <f t="shared" si="446"/>
        <v>22.392320096737027</v>
      </c>
      <c r="AY488">
        <f t="shared" si="447"/>
        <v>1.5261233011173112</v>
      </c>
      <c r="AZ488" t="str">
        <f t="shared" si="423"/>
        <v>1+1039,18724661605i</v>
      </c>
      <c r="BA488">
        <f t="shared" si="448"/>
        <v>1039.1877277611813</v>
      </c>
      <c r="BB488">
        <f t="shared" si="449"/>
        <v>1.5698340366064933</v>
      </c>
      <c r="BC488" s="41" t="str">
        <f t="shared" si="450"/>
        <v>-0,00700118335198016+0,160068775303077i</v>
      </c>
      <c r="BD488">
        <f t="shared" si="451"/>
        <v>-15.905567159892971</v>
      </c>
      <c r="BE488" s="43">
        <f t="shared" si="452"/>
        <v>92.504440662942841</v>
      </c>
      <c r="BF488" s="41" t="str">
        <f t="shared" si="453"/>
        <v>0,0215420769858667-0,21545393263229i</v>
      </c>
      <c r="BG488" s="20">
        <f t="shared" si="454"/>
        <v>-13.289710986639136</v>
      </c>
      <c r="BH488" s="43">
        <f t="shared" si="455"/>
        <v>-84.290280031565871</v>
      </c>
      <c r="BI488" s="41" t="str">
        <f t="shared" si="409"/>
        <v>0,369376790376433+0,102305931279808i</v>
      </c>
      <c r="BJ488" s="20">
        <f t="shared" si="456"/>
        <v>-8.3296130328791183</v>
      </c>
      <c r="BK488" s="43">
        <f t="shared" si="410"/>
        <v>15.481083517838677</v>
      </c>
      <c r="BL488">
        <f t="shared" si="457"/>
        <v>-13.289710986639136</v>
      </c>
      <c r="BM488" s="43">
        <f t="shared" si="458"/>
        <v>-84.290280031565871</v>
      </c>
    </row>
    <row r="489" spans="14:65" x14ac:dyDescent="0.25">
      <c r="N489" s="9">
        <v>71</v>
      </c>
      <c r="O489" s="34">
        <f t="shared" si="459"/>
        <v>512861.38399136515</v>
      </c>
      <c r="P489" s="33" t="str">
        <f t="shared" si="411"/>
        <v>54,631621870174</v>
      </c>
      <c r="Q489" s="4" t="str">
        <f t="shared" si="412"/>
        <v>1+14384,4857627738i</v>
      </c>
      <c r="R489" s="4">
        <f t="shared" si="424"/>
        <v>14384.485797533471</v>
      </c>
      <c r="S489" s="4">
        <f t="shared" si="425"/>
        <v>1.5707268074519822</v>
      </c>
      <c r="T489" s="4" t="str">
        <f t="shared" si="413"/>
        <v>1+48,7227350612167i</v>
      </c>
      <c r="U489" s="4">
        <f t="shared" si="426"/>
        <v>48.732996130399329</v>
      </c>
      <c r="V489" s="4">
        <f t="shared" si="427"/>
        <v>1.5502749086396665</v>
      </c>
      <c r="W489" t="str">
        <f t="shared" si="414"/>
        <v>1-12,8230338733525i</v>
      </c>
      <c r="X489" s="4">
        <f t="shared" si="428"/>
        <v>12.861967101386382</v>
      </c>
      <c r="Y489" s="4">
        <f t="shared" si="429"/>
        <v>-1.4929691782112813</v>
      </c>
      <c r="Z489" t="str">
        <f t="shared" si="415"/>
        <v>-0,0521071967581499+1,7617811409541i</v>
      </c>
      <c r="AA489" s="4">
        <f t="shared" si="430"/>
        <v>1.7625515449414586</v>
      </c>
      <c r="AB489" s="4">
        <f t="shared" si="431"/>
        <v>1.6003641372694506</v>
      </c>
      <c r="AC489" s="47" t="str">
        <f t="shared" si="432"/>
        <v>-1,3501141878803-0,0375528981277244i</v>
      </c>
      <c r="AD489" s="20">
        <f t="shared" si="433"/>
        <v>2.6107686537196662</v>
      </c>
      <c r="AE489" s="43">
        <f t="shared" si="434"/>
        <v>-178.40675108923023</v>
      </c>
      <c r="AF489" t="str">
        <f t="shared" si="416"/>
        <v>171,265703090588</v>
      </c>
      <c r="AG489" t="str">
        <f t="shared" si="417"/>
        <v>1+14246,82598321i</v>
      </c>
      <c r="AH489">
        <f t="shared" si="435"/>
        <v>14246.826018305535</v>
      </c>
      <c r="AI489">
        <f t="shared" si="436"/>
        <v>1.5707261357221949</v>
      </c>
      <c r="AJ489" t="str">
        <f t="shared" si="418"/>
        <v>1+48,7227350612167i</v>
      </c>
      <c r="AK489">
        <f t="shared" si="437"/>
        <v>48.732996130399329</v>
      </c>
      <c r="AL489">
        <f t="shared" si="438"/>
        <v>1.5502749086396665</v>
      </c>
      <c r="AM489" t="str">
        <f t="shared" si="419"/>
        <v>1-4,05123937570157i</v>
      </c>
      <c r="AN489">
        <f t="shared" si="439"/>
        <v>4.1728336270734365</v>
      </c>
      <c r="AO489">
        <f t="shared" si="440"/>
        <v>-1.3287958299439064</v>
      </c>
      <c r="AP489" s="41" t="str">
        <f t="shared" si="441"/>
        <v>0,537177892665904-2,38484215067497i</v>
      </c>
      <c r="AQ489">
        <f t="shared" si="442"/>
        <v>7.7641292684058083</v>
      </c>
      <c r="AR489" s="43">
        <f t="shared" si="443"/>
        <v>-77.306161888061794</v>
      </c>
      <c r="AS489" t="str">
        <f t="shared" si="420"/>
        <v>-0,0000166666666666667</v>
      </c>
      <c r="AT489" t="str">
        <f t="shared" si="421"/>
        <v>0,00493994397148447i</v>
      </c>
      <c r="AU489">
        <f t="shared" si="444"/>
        <v>4.9399439714844697E-3</v>
      </c>
      <c r="AV489">
        <f t="shared" si="445"/>
        <v>1.5707963267948966</v>
      </c>
      <c r="AW489" t="str">
        <f t="shared" si="422"/>
        <v>1+22,8910436368435i</v>
      </c>
      <c r="AX489">
        <f t="shared" si="446"/>
        <v>22.912875829626302</v>
      </c>
      <c r="AY489">
        <f t="shared" si="447"/>
        <v>1.5271388767110781</v>
      </c>
      <c r="AZ489" t="str">
        <f t="shared" si="423"/>
        <v>1+1063,39302712973i</v>
      </c>
      <c r="BA489">
        <f t="shared" si="448"/>
        <v>1063.3934973226658</v>
      </c>
      <c r="BB489">
        <f t="shared" si="449"/>
        <v>1.5698559409923643</v>
      </c>
      <c r="BC489" s="41" t="str">
        <f t="shared" si="450"/>
        <v>-0,00668667839495628+0,156438904353408i</v>
      </c>
      <c r="BD489">
        <f t="shared" si="451"/>
        <v>-16.10517749795158</v>
      </c>
      <c r="BE489" s="43">
        <f t="shared" si="452"/>
        <v>92.447507496506731</v>
      </c>
      <c r="BF489" s="41" t="str">
        <f t="shared" si="453"/>
        <v>0,0149025136092195-0,210959280151407i</v>
      </c>
      <c r="BG489" s="20">
        <f t="shared" si="454"/>
        <v>-13.494408844231904</v>
      </c>
      <c r="BH489" s="43">
        <f t="shared" si="455"/>
        <v>-85.95924359272351</v>
      </c>
      <c r="BI489" s="41" t="str">
        <f t="shared" si="409"/>
        <v>0,36949015729828+0,099982193455826i</v>
      </c>
      <c r="BJ489" s="20">
        <f t="shared" si="456"/>
        <v>-8.3410482295457804</v>
      </c>
      <c r="BK489" s="43">
        <f t="shared" si="410"/>
        <v>15.141345608444942</v>
      </c>
      <c r="BL489">
        <f t="shared" si="457"/>
        <v>-13.494408844231904</v>
      </c>
      <c r="BM489" s="43">
        <f t="shared" si="458"/>
        <v>-85.95924359272351</v>
      </c>
    </row>
    <row r="490" spans="14:65" x14ac:dyDescent="0.25">
      <c r="N490" s="9">
        <v>72</v>
      </c>
      <c r="O490" s="34">
        <f t="shared" si="459"/>
        <v>524807.46024977288</v>
      </c>
      <c r="P490" s="33" t="str">
        <f t="shared" si="411"/>
        <v>54,631621870174</v>
      </c>
      <c r="Q490" s="4" t="str">
        <f t="shared" si="412"/>
        <v>1+14719,5434786087i</v>
      </c>
      <c r="R490" s="4">
        <f t="shared" si="424"/>
        <v>14719.543512577146</v>
      </c>
      <c r="S490" s="4">
        <f t="shared" si="425"/>
        <v>1.5707283899054194</v>
      </c>
      <c r="T490" s="4" t="str">
        <f t="shared" si="413"/>
        <v>1+49,8576333528949i</v>
      </c>
      <c r="U490" s="4">
        <f t="shared" si="426"/>
        <v>49.867660899140823</v>
      </c>
      <c r="V490" s="4">
        <f t="shared" si="427"/>
        <v>1.5507419064536165</v>
      </c>
      <c r="W490" t="str">
        <f t="shared" si="414"/>
        <v>1-13,1217207023803i</v>
      </c>
      <c r="X490" s="4">
        <f t="shared" si="428"/>
        <v>13.159770294016372</v>
      </c>
      <c r="Y490" s="4">
        <f t="shared" si="429"/>
        <v>-1.4947338363952556</v>
      </c>
      <c r="Z490" t="str">
        <f t="shared" si="415"/>
        <v>-0,10169148133527+1,80281829547072i</v>
      </c>
      <c r="AA490" s="4">
        <f t="shared" si="430"/>
        <v>1.8056840708884025</v>
      </c>
      <c r="AB490" s="4">
        <f t="shared" si="431"/>
        <v>1.6271435665203011</v>
      </c>
      <c r="AC490" s="47" t="str">
        <f t="shared" si="432"/>
        <v>-1,34888608788864+0,000365862129210556i</v>
      </c>
      <c r="AD490" s="20">
        <f t="shared" si="433"/>
        <v>2.5995058290190043</v>
      </c>
      <c r="AE490" s="43">
        <f t="shared" si="434"/>
        <v>179.98445950657984</v>
      </c>
      <c r="AF490" t="str">
        <f t="shared" si="416"/>
        <v>171,265703090588</v>
      </c>
      <c r="AG490" t="str">
        <f t="shared" si="417"/>
        <v>1+14578,6771908622i</v>
      </c>
      <c r="AH490">
        <f t="shared" si="435"/>
        <v>14578.677225158865</v>
      </c>
      <c r="AI490">
        <f t="shared" si="436"/>
        <v>1.5707277334660685</v>
      </c>
      <c r="AJ490" t="str">
        <f t="shared" si="418"/>
        <v>1+49,8576333528949i</v>
      </c>
      <c r="AK490">
        <f t="shared" si="437"/>
        <v>49.867660899140823</v>
      </c>
      <c r="AL490">
        <f t="shared" si="438"/>
        <v>1.5507419064536165</v>
      </c>
      <c r="AM490" t="str">
        <f t="shared" si="419"/>
        <v>1-4,14560486320728i</v>
      </c>
      <c r="AN490">
        <f t="shared" si="439"/>
        <v>4.2645093131388343</v>
      </c>
      <c r="AO490">
        <f t="shared" si="440"/>
        <v>-1.3340987500811181</v>
      </c>
      <c r="AP490" s="41" t="str">
        <f t="shared" si="441"/>
        <v>0,537177854808231-2,43984034569795i</v>
      </c>
      <c r="AQ490">
        <f t="shared" si="442"/>
        <v>7.9528069177167442</v>
      </c>
      <c r="AR490" s="43">
        <f t="shared" si="443"/>
        <v>-77.583331371218463</v>
      </c>
      <c r="AS490" t="str">
        <f t="shared" si="420"/>
        <v>-0,0000166666666666667</v>
      </c>
      <c r="AT490" t="str">
        <f t="shared" si="421"/>
        <v>0,00505501004827962i</v>
      </c>
      <c r="AU490">
        <f t="shared" si="444"/>
        <v>5.0550100482796203E-3</v>
      </c>
      <c r="AV490">
        <f t="shared" si="445"/>
        <v>1.5707963267948966</v>
      </c>
      <c r="AW490" t="str">
        <f t="shared" si="422"/>
        <v>1+23,4242445395749i</v>
      </c>
      <c r="AX490">
        <f t="shared" si="446"/>
        <v>23.445580228473865</v>
      </c>
      <c r="AY490">
        <f t="shared" si="447"/>
        <v>1.5281314220647761</v>
      </c>
      <c r="AZ490" t="str">
        <f t="shared" si="423"/>
        <v>1+1088,16263270207i</v>
      </c>
      <c r="BA490">
        <f t="shared" si="448"/>
        <v>1088.1630921921123</v>
      </c>
      <c r="BB490">
        <f t="shared" si="449"/>
        <v>1.5698773467744114</v>
      </c>
      <c r="BC490" s="41" t="str">
        <f t="shared" si="450"/>
        <v>-0,00638627577767215+0,1528907445711i</v>
      </c>
      <c r="BD490">
        <f t="shared" si="451"/>
        <v>-16.304805341016618</v>
      </c>
      <c r="BE490" s="43">
        <f t="shared" si="452"/>
        <v>92.391865297732991</v>
      </c>
      <c r="BF490" s="41" t="str">
        <f t="shared" si="453"/>
        <v>0,0085584216165768-0,206234534815346i</v>
      </c>
      <c r="BG490" s="20">
        <f t="shared" si="454"/>
        <v>-13.705299511997616</v>
      </c>
      <c r="BH490" s="43">
        <f t="shared" si="455"/>
        <v>-87.62367519568717</v>
      </c>
      <c r="BI490" s="41" t="str">
        <f t="shared" si="409"/>
        <v>0,369598441165906+0,0977110154898548i</v>
      </c>
      <c r="BJ490" s="20">
        <f t="shared" si="456"/>
        <v>-8.3519984232998681</v>
      </c>
      <c r="BK490" s="43">
        <f t="shared" si="410"/>
        <v>14.808533926514533</v>
      </c>
      <c r="BL490">
        <f t="shared" si="457"/>
        <v>-13.705299511997616</v>
      </c>
      <c r="BM490" s="43">
        <f t="shared" si="458"/>
        <v>-87.62367519568717</v>
      </c>
    </row>
    <row r="491" spans="14:65" x14ac:dyDescent="0.25">
      <c r="N491" s="9">
        <v>73</v>
      </c>
      <c r="O491" s="34">
        <f t="shared" si="459"/>
        <v>537031.7963702539</v>
      </c>
      <c r="P491" s="33" t="str">
        <f t="shared" si="411"/>
        <v>54,631621870174</v>
      </c>
      <c r="Q491" s="4" t="str">
        <f t="shared" si="412"/>
        <v>1+15062,4056912322i</v>
      </c>
      <c r="R491" s="4">
        <f t="shared" si="424"/>
        <v>15062.405724427428</v>
      </c>
      <c r="S491" s="4">
        <f t="shared" si="425"/>
        <v>1.5707299363378189</v>
      </c>
      <c r="T491" s="4" t="str">
        <f t="shared" si="413"/>
        <v>1+51,0189668217206i</v>
      </c>
      <c r="U491" s="4">
        <f t="shared" si="426"/>
        <v>51.02876615749031</v>
      </c>
      <c r="V491" s="4">
        <f t="shared" si="427"/>
        <v>1.5511982825531108</v>
      </c>
      <c r="W491" t="str">
        <f t="shared" si="414"/>
        <v>1-13,4273648414111i</v>
      </c>
      <c r="X491" s="4">
        <f t="shared" si="428"/>
        <v>13.464550738304004</v>
      </c>
      <c r="Y491" s="4">
        <f t="shared" si="429"/>
        <v>-1.4964587848096351</v>
      </c>
      <c r="Z491" t="str">
        <f t="shared" si="415"/>
        <v>-0,15361260125065+1,84481132811072i</v>
      </c>
      <c r="AA491" s="4">
        <f t="shared" si="430"/>
        <v>1.8511957399444905</v>
      </c>
      <c r="AB491" s="4">
        <f t="shared" si="431"/>
        <v>1.6538720573477723</v>
      </c>
      <c r="AC491" s="47" t="str">
        <f t="shared" si="432"/>
        <v>-1,34564586404855+0,0380513336509939i</v>
      </c>
      <c r="AD491" s="20">
        <f t="shared" si="433"/>
        <v>2.5820868922396425</v>
      </c>
      <c r="AE491" s="43">
        <f t="shared" si="434"/>
        <v>178.38025734571173</v>
      </c>
      <c r="AF491" t="str">
        <f t="shared" si="416"/>
        <v>171,265703090588</v>
      </c>
      <c r="AG491" t="str">
        <f t="shared" si="417"/>
        <v>1+14918,2582061326i</v>
      </c>
      <c r="AH491">
        <f t="shared" si="435"/>
        <v>14918.258239648574</v>
      </c>
      <c r="AI491">
        <f t="shared" si="436"/>
        <v>1.5707292948408518</v>
      </c>
      <c r="AJ491" t="str">
        <f t="shared" si="418"/>
        <v>1+51,0189668217206i</v>
      </c>
      <c r="AK491">
        <f t="shared" si="437"/>
        <v>51.02876615749031</v>
      </c>
      <c r="AL491">
        <f t="shared" si="438"/>
        <v>1.5511982825531108</v>
      </c>
      <c r="AM491" t="str">
        <f t="shared" si="419"/>
        <v>1-4,24216840528503i</v>
      </c>
      <c r="AN491">
        <f t="shared" si="439"/>
        <v>4.358439259505464</v>
      </c>
      <c r="AO491">
        <f t="shared" si="440"/>
        <v>-1.3392941032644126</v>
      </c>
      <c r="AP491" s="41" t="str">
        <f t="shared" si="441"/>
        <v>0,537177818654433-2,4961321763671i</v>
      </c>
      <c r="AQ491">
        <f t="shared" si="442"/>
        <v>8.1419669308593292</v>
      </c>
      <c r="AR491" s="43">
        <f t="shared" si="443"/>
        <v>-77.854944217514813</v>
      </c>
      <c r="AS491" t="str">
        <f t="shared" si="420"/>
        <v>-0,0000166666666666667</v>
      </c>
      <c r="AT491" t="str">
        <f t="shared" si="421"/>
        <v>0,00517275635831334i</v>
      </c>
      <c r="AU491">
        <f t="shared" si="444"/>
        <v>5.1727563583133396E-3</v>
      </c>
      <c r="AV491">
        <f t="shared" si="445"/>
        <v>1.5707963267948966</v>
      </c>
      <c r="AW491" t="str">
        <f t="shared" si="422"/>
        <v>1+23,9698652868178i</v>
      </c>
      <c r="AX491">
        <f t="shared" si="446"/>
        <v>23.990715743140992</v>
      </c>
      <c r="AY491">
        <f t="shared" si="447"/>
        <v>1.5291014556122151</v>
      </c>
      <c r="AZ491" t="str">
        <f t="shared" si="423"/>
        <v>1+1113,50919650581i</v>
      </c>
      <c r="BA491">
        <f t="shared" si="448"/>
        <v>1113.5096455365867</v>
      </c>
      <c r="BB491">
        <f t="shared" si="449"/>
        <v>1.5698982653021853</v>
      </c>
      <c r="BC491" s="41" t="str">
        <f t="shared" si="450"/>
        <v>-0,0060993454162634+0,14942249679652i</v>
      </c>
      <c r="BD491">
        <f t="shared" si="451"/>
        <v>-16.504449904102461</v>
      </c>
      <c r="BE491" s="43">
        <f t="shared" si="452"/>
        <v>92.337485012833696</v>
      </c>
      <c r="BF491" s="41" t="str">
        <f t="shared" si="453"/>
        <v>0,00252183365222938-0,201301853037532i</v>
      </c>
      <c r="BG491" s="20">
        <f t="shared" si="454"/>
        <v>-13.92236301186281</v>
      </c>
      <c r="BH491" s="43">
        <f t="shared" si="455"/>
        <v>-89.282257641454564</v>
      </c>
      <c r="BI491" s="41" t="str">
        <f t="shared" si="409"/>
        <v>0,369701869060975+0,0954912232353659i</v>
      </c>
      <c r="BJ491" s="20">
        <f t="shared" si="456"/>
        <v>-8.3624829732431376</v>
      </c>
      <c r="BK491" s="43">
        <f t="shared" si="410"/>
        <v>14.482540795318904</v>
      </c>
      <c r="BL491">
        <f t="shared" si="457"/>
        <v>-13.92236301186281</v>
      </c>
      <c r="BM491" s="43">
        <f t="shared" si="458"/>
        <v>-89.282257641454564</v>
      </c>
    </row>
    <row r="492" spans="14:65" x14ac:dyDescent="0.25">
      <c r="N492" s="9">
        <v>74</v>
      </c>
      <c r="O492" s="34">
        <f t="shared" si="459"/>
        <v>549540.87385762564</v>
      </c>
      <c r="P492" s="33" t="str">
        <f t="shared" si="411"/>
        <v>54,631621870174</v>
      </c>
      <c r="Q492" s="4" t="str">
        <f t="shared" si="412"/>
        <v>1+15413,2541907276i</v>
      </c>
      <c r="R492" s="4">
        <f t="shared" si="424"/>
        <v>15413.254223167212</v>
      </c>
      <c r="S492" s="4">
        <f t="shared" si="425"/>
        <v>1.5707314475691196</v>
      </c>
      <c r="T492" s="4" t="str">
        <f t="shared" si="413"/>
        <v>1+52,207351222071i</v>
      </c>
      <c r="U492" s="4">
        <f t="shared" si="426"/>
        <v>52.216927539110131</v>
      </c>
      <c r="V492" s="4">
        <f t="shared" si="427"/>
        <v>1.5516442781539324</v>
      </c>
      <c r="W492" t="str">
        <f t="shared" si="414"/>
        <v>1-13,7401283470129i</v>
      </c>
      <c r="X492" s="4">
        <f t="shared" si="428"/>
        <v>13.776470048324697</v>
      </c>
      <c r="Y492" s="4">
        <f t="shared" si="429"/>
        <v>-1.4981448969619813</v>
      </c>
      <c r="Z492" t="str">
        <f t="shared" si="415"/>
        <v>-0,20798068816081+1,88778250413585i</v>
      </c>
      <c r="AA492" s="4">
        <f t="shared" si="430"/>
        <v>1.8992047676775836</v>
      </c>
      <c r="AB492" s="4">
        <f t="shared" si="431"/>
        <v>1.6805257491223204</v>
      </c>
      <c r="AC492" s="47" t="str">
        <f t="shared" si="432"/>
        <v>-1,34042299607024+0,0753643375116798i</v>
      </c>
      <c r="AD492" s="20">
        <f t="shared" si="433"/>
        <v>2.5585445368536708</v>
      </c>
      <c r="AE492" s="43">
        <f t="shared" si="434"/>
        <v>176.78197326690548</v>
      </c>
      <c r="AF492" t="str">
        <f t="shared" si="416"/>
        <v>171,265703090588</v>
      </c>
      <c r="AG492" t="str">
        <f t="shared" si="417"/>
        <v>1+15265,7490793703i</v>
      </c>
      <c r="AH492">
        <f t="shared" si="435"/>
        <v>15265.749112123358</v>
      </c>
      <c r="AI492">
        <f t="shared" si="436"/>
        <v>1.5707308206744062</v>
      </c>
      <c r="AJ492" t="str">
        <f t="shared" si="418"/>
        <v>1+52,207351222071i</v>
      </c>
      <c r="AK492">
        <f t="shared" si="437"/>
        <v>52.216927539110131</v>
      </c>
      <c r="AL492">
        <f t="shared" si="438"/>
        <v>1.5516442781539324</v>
      </c>
      <c r="AM492" t="str">
        <f t="shared" si="419"/>
        <v>1-4,34098120120299i</v>
      </c>
      <c r="AN492">
        <f t="shared" si="439"/>
        <v>4.4546737017651195</v>
      </c>
      <c r="AO492">
        <f t="shared" si="440"/>
        <v>-1.3443835217947369</v>
      </c>
      <c r="AP492" s="41" t="str">
        <f t="shared" si="441"/>
        <v>0,537177784127827-2,55374748935616i</v>
      </c>
      <c r="AQ492">
        <f t="shared" si="442"/>
        <v>8.3315898700393749</v>
      </c>
      <c r="AR492" s="43">
        <f t="shared" si="443"/>
        <v>-78.121080177692505</v>
      </c>
      <c r="AS492" t="str">
        <f t="shared" si="420"/>
        <v>-0,0000166666666666667</v>
      </c>
      <c r="AT492" t="str">
        <f t="shared" si="421"/>
        <v>0,00529324533223775i</v>
      </c>
      <c r="AU492">
        <f t="shared" si="444"/>
        <v>5.2932453322377497E-3</v>
      </c>
      <c r="AV492">
        <f t="shared" si="445"/>
        <v>1.5707963267948966</v>
      </c>
      <c r="AW492" t="str">
        <f t="shared" si="422"/>
        <v>1+24,5281951739143i</v>
      </c>
      <c r="AX492">
        <f t="shared" si="446"/>
        <v>24.548571414435358</v>
      </c>
      <c r="AY492">
        <f t="shared" si="447"/>
        <v>1.5300494843717194</v>
      </c>
      <c r="AZ492" t="str">
        <f t="shared" si="423"/>
        <v>1+1139,44615762456i</v>
      </c>
      <c r="BA492">
        <f t="shared" si="448"/>
        <v>1139.4465964341523</v>
      </c>
      <c r="BB492">
        <f t="shared" si="449"/>
        <v>1.569918707666893</v>
      </c>
      <c r="BC492" s="41" t="str">
        <f t="shared" si="450"/>
        <v>-0,00582528517986839+0,146032398791342i</v>
      </c>
      <c r="BD492">
        <f t="shared" si="451"/>
        <v>-16.70411043730191</v>
      </c>
      <c r="BE492" s="43">
        <f t="shared" si="452"/>
        <v>92.284338227278113</v>
      </c>
      <c r="BF492" s="41" t="str">
        <f t="shared" si="453"/>
        <v>-0,00319728877638817-0,196184204269612i</v>
      </c>
      <c r="BG492" s="20">
        <f t="shared" si="454"/>
        <v>-14.145565900448245</v>
      </c>
      <c r="BH492" s="43">
        <f t="shared" si="455"/>
        <v>-90.933688505816377</v>
      </c>
      <c r="BI492" s="41" t="str">
        <f t="shared" si="409"/>
        <v>0,369800657993213+0,0933216677964768i</v>
      </c>
      <c r="BJ492" s="20">
        <f t="shared" si="456"/>
        <v>-8.3725205672625336</v>
      </c>
      <c r="BK492" s="43">
        <f t="shared" si="410"/>
        <v>14.163258049585604</v>
      </c>
      <c r="BL492">
        <f t="shared" si="457"/>
        <v>-14.145565900448245</v>
      </c>
      <c r="BM492" s="43">
        <f t="shared" si="458"/>
        <v>-90.933688505816377</v>
      </c>
    </row>
    <row r="493" spans="14:65" x14ac:dyDescent="0.25">
      <c r="N493" s="9">
        <v>75</v>
      </c>
      <c r="O493" s="34">
        <f t="shared" si="459"/>
        <v>562341.32519035018</v>
      </c>
      <c r="P493" s="33" t="str">
        <f t="shared" si="411"/>
        <v>54,631621870174</v>
      </c>
      <c r="Q493" s="4" t="str">
        <f t="shared" si="412"/>
        <v>1+15772,2750016136i</v>
      </c>
      <c r="R493" s="4">
        <f t="shared" si="424"/>
        <v>15772.275033314796</v>
      </c>
      <c r="S493" s="4">
        <f t="shared" si="425"/>
        <v>1.5707329244005965</v>
      </c>
      <c r="T493" s="4" t="str">
        <f t="shared" si="413"/>
        <v>1+53,4234166510854i</v>
      </c>
      <c r="U493" s="4">
        <f t="shared" si="426"/>
        <v>53.432775023158477</v>
      </c>
      <c r="V493" s="4">
        <f t="shared" si="427"/>
        <v>1.5520801290187347</v>
      </c>
      <c r="W493" t="str">
        <f t="shared" si="414"/>
        <v>1-14,0601770505365i</v>
      </c>
      <c r="X493" s="4">
        <f t="shared" si="428"/>
        <v>14.095693622253334</v>
      </c>
      <c r="Y493" s="4">
        <f t="shared" si="429"/>
        <v>-1.4997930284812044</v>
      </c>
      <c r="Z493" t="str">
        <f t="shared" si="415"/>
        <v>-0,26491106406736+1,93175460743244i</v>
      </c>
      <c r="AA493" s="4">
        <f t="shared" si="430"/>
        <v>1.9498342840358927</v>
      </c>
      <c r="AB493" s="4">
        <f t="shared" si="431"/>
        <v>1.7070811915348276</v>
      </c>
      <c r="AC493" s="47" t="str">
        <f t="shared" si="432"/>
        <v>-1,33325933829293+0,112169806722045i</v>
      </c>
      <c r="AD493" s="20">
        <f t="shared" si="433"/>
        <v>2.5289246232452451</v>
      </c>
      <c r="AE493" s="43">
        <f t="shared" si="434"/>
        <v>175.19091531227176</v>
      </c>
      <c r="AF493" t="str">
        <f t="shared" si="416"/>
        <v>171,265703090588</v>
      </c>
      <c r="AG493" t="str">
        <f t="shared" si="417"/>
        <v>1+15621,3340548361i</v>
      </c>
      <c r="AH493">
        <f t="shared" si="435"/>
        <v>15621.334086843606</v>
      </c>
      <c r="AI493">
        <f t="shared" si="436"/>
        <v>1.5707323117757488</v>
      </c>
      <c r="AJ493" t="str">
        <f t="shared" si="418"/>
        <v>1+53,4234166510854i</v>
      </c>
      <c r="AK493">
        <f t="shared" si="437"/>
        <v>53.432775023158477</v>
      </c>
      <c r="AL493">
        <f t="shared" si="438"/>
        <v>1.5520801290187347</v>
      </c>
      <c r="AM493" t="str">
        <f t="shared" si="419"/>
        <v>1-4,44209564281352i</v>
      </c>
      <c r="AN493">
        <f t="shared" si="439"/>
        <v>4.5532640709608376</v>
      </c>
      <c r="AO493">
        <f t="shared" si="440"/>
        <v>-1.3493686490636581</v>
      </c>
      <c r="AP493" s="41" t="str">
        <f t="shared" si="441"/>
        <v>0,537177751155171-2,6127168330667i</v>
      </c>
      <c r="AQ493">
        <f t="shared" si="442"/>
        <v>8.5216569875236878</v>
      </c>
      <c r="AR493" s="43">
        <f t="shared" si="443"/>
        <v>-78.38181994930072</v>
      </c>
      <c r="AS493" t="str">
        <f t="shared" si="420"/>
        <v>-0,0000166666666666667</v>
      </c>
      <c r="AT493" t="str">
        <f t="shared" si="421"/>
        <v>0,0054165408549017i</v>
      </c>
      <c r="AU493">
        <f t="shared" si="444"/>
        <v>5.4165408549016998E-3</v>
      </c>
      <c r="AV493">
        <f t="shared" si="445"/>
        <v>1.5707963267948966</v>
      </c>
      <c r="AW493" t="str">
        <f t="shared" si="422"/>
        <v>1+25,0995302347612i</v>
      </c>
      <c r="AX493">
        <f t="shared" si="446"/>
        <v>25.11944302737805</v>
      </c>
      <c r="AY493">
        <f t="shared" si="447"/>
        <v>1.5309760041804095</v>
      </c>
      <c r="AZ493" t="str">
        <f t="shared" si="423"/>
        <v>1+1165,98726817845i</v>
      </c>
      <c r="BA493">
        <f t="shared" si="448"/>
        <v>1165.98769699952</v>
      </c>
      <c r="BB493">
        <f t="shared" si="449"/>
        <v>1.5699386847072785</v>
      </c>
      <c r="BC493" s="41" t="str">
        <f t="shared" si="450"/>
        <v>-0,00556351966800513+0,142718724664405i</v>
      </c>
      <c r="BD493">
        <f t="shared" si="451"/>
        <v>-16.903786224229322</v>
      </c>
      <c r="BE493" s="43">
        <f t="shared" si="452"/>
        <v>92.232397152706142</v>
      </c>
      <c r="BF493" s="41" t="str">
        <f t="shared" si="453"/>
        <v>-0,00859111721007884-0,19090513133393i</v>
      </c>
      <c r="BG493" s="20">
        <f t="shared" si="454"/>
        <v>-14.374861600984071</v>
      </c>
      <c r="BH493" s="43">
        <f t="shared" si="455"/>
        <v>-92.576687535022074</v>
      </c>
      <c r="BI493" s="41" t="str">
        <f t="shared" si="409"/>
        <v>0,369895015340736+0,0912012250506538i</v>
      </c>
      <c r="BJ493" s="20">
        <f t="shared" si="456"/>
        <v>-8.3821292367056337</v>
      </c>
      <c r="BK493" s="43">
        <f t="shared" si="410"/>
        <v>13.850577203405438</v>
      </c>
      <c r="BL493">
        <f t="shared" si="457"/>
        <v>-14.374861600984071</v>
      </c>
      <c r="BM493" s="43">
        <f t="shared" si="458"/>
        <v>-92.576687535022074</v>
      </c>
    </row>
    <row r="494" spans="14:65" x14ac:dyDescent="0.25">
      <c r="N494" s="9">
        <v>76</v>
      </c>
      <c r="O494" s="34">
        <f t="shared" si="459"/>
        <v>575439.93733715697</v>
      </c>
      <c r="P494" s="33" t="str">
        <f t="shared" si="411"/>
        <v>54,631621870174</v>
      </c>
      <c r="Q494" s="4" t="str">
        <f t="shared" si="412"/>
        <v>1+16139,6584814761i</v>
      </c>
      <c r="R494" s="4">
        <f t="shared" si="424"/>
        <v>16139.65851245569</v>
      </c>
      <c r="S494" s="4">
        <f t="shared" si="425"/>
        <v>1.5707343676152852</v>
      </c>
      <c r="T494" s="4" t="str">
        <f t="shared" si="413"/>
        <v>1+54,6678078827505i</v>
      </c>
      <c r="U494" s="4">
        <f t="shared" si="426"/>
        <v>54.676953268313312</v>
      </c>
      <c r="V494" s="4">
        <f t="shared" si="427"/>
        <v>1.5525060655786604</v>
      </c>
      <c r="W494" t="str">
        <f t="shared" si="414"/>
        <v>1-14,3876806460407i</v>
      </c>
      <c r="X494" s="4">
        <f t="shared" si="428"/>
        <v>14.422390730127031</v>
      </c>
      <c r="Y494" s="4">
        <f t="shared" si="429"/>
        <v>-1.5014040173933103</v>
      </c>
      <c r="Z494" t="str">
        <f t="shared" si="415"/>
        <v>-0,32452448593037+1,97675095259167i</v>
      </c>
      <c r="AA494" s="4">
        <f t="shared" si="430"/>
        <v>2.0032125375357568</v>
      </c>
      <c r="AB494" s="4">
        <f t="shared" si="431"/>
        <v>1.7335154674523294</v>
      </c>
      <c r="AC494" s="47" t="str">
        <f t="shared" si="432"/>
        <v>-1,32420847708356+0,148338097791422i</v>
      </c>
      <c r="AD494" s="20">
        <f t="shared" si="433"/>
        <v>2.4932857288251942</v>
      </c>
      <c r="AE494" s="43">
        <f t="shared" si="434"/>
        <v>173.60836167932203</v>
      </c>
      <c r="AF494" t="str">
        <f t="shared" si="416"/>
        <v>171,265703090588</v>
      </c>
      <c r="AG494" t="str">
        <f t="shared" si="417"/>
        <v>1+15985,2016683904i</v>
      </c>
      <c r="AH494">
        <f t="shared" si="435"/>
        <v>15985.201699669327</v>
      </c>
      <c r="AI494">
        <f t="shared" si="436"/>
        <v>1.5707337689354814</v>
      </c>
      <c r="AJ494" t="str">
        <f t="shared" si="418"/>
        <v>1+54,6678078827505i</v>
      </c>
      <c r="AK494">
        <f t="shared" si="437"/>
        <v>54.676953268313312</v>
      </c>
      <c r="AL494">
        <f t="shared" si="438"/>
        <v>1.5525060655786604</v>
      </c>
      <c r="AM494" t="str">
        <f t="shared" si="419"/>
        <v>1-4,54556534233193i</v>
      </c>
      <c r="AN494">
        <f t="shared" si="439"/>
        <v>4.6542630223709098</v>
      </c>
      <c r="AO494">
        <f t="shared" si="440"/>
        <v>-1.3542511367026193</v>
      </c>
      <c r="AP494" s="41" t="str">
        <f t="shared" si="441"/>
        <v>0,537177719666532-2,67307147382534i</v>
      </c>
      <c r="AQ494">
        <f t="shared" si="442"/>
        <v>8.7121502090135561</v>
      </c>
      <c r="AR494" s="43">
        <f t="shared" si="443"/>
        <v>-78.637245006416663</v>
      </c>
      <c r="AS494" t="str">
        <f t="shared" si="420"/>
        <v>-0,0000166666666666667</v>
      </c>
      <c r="AT494" t="str">
        <f t="shared" si="421"/>
        <v>0,00554270829922331i</v>
      </c>
      <c r="AU494">
        <f t="shared" si="444"/>
        <v>5.5427082992233097E-3</v>
      </c>
      <c r="AV494">
        <f t="shared" si="445"/>
        <v>1.5707963267948966</v>
      </c>
      <c r="AW494" t="str">
        <f t="shared" si="422"/>
        <v>1+25,6841733987699i</v>
      </c>
      <c r="AX494">
        <f t="shared" si="446"/>
        <v>25.703633268043632</v>
      </c>
      <c r="AY494">
        <f t="shared" si="447"/>
        <v>1.5318814999248376</v>
      </c>
      <c r="AZ494" t="str">
        <f t="shared" si="423"/>
        <v>1+1193,14660061559i</v>
      </c>
      <c r="BA494">
        <f t="shared" si="448"/>
        <v>1193.1470196755045</v>
      </c>
      <c r="BB494">
        <f t="shared" si="449"/>
        <v>1.5699582070153693</v>
      </c>
      <c r="BC494" s="41" t="str">
        <f t="shared" si="450"/>
        <v>-0,00531349903988163+0,139479784293176i</v>
      </c>
      <c r="BD494">
        <f t="shared" si="451"/>
        <v>-17.103476580531986</v>
      </c>
      <c r="BE494" s="43">
        <f t="shared" si="452"/>
        <v>92.181634614043318</v>
      </c>
      <c r="BF494" s="41" t="str">
        <f t="shared" si="453"/>
        <v>-0,013653985410821-0,185488507083003i</v>
      </c>
      <c r="BG494" s="20">
        <f t="shared" si="454"/>
        <v>-14.610190851706777</v>
      </c>
      <c r="BH494" s="43">
        <f t="shared" si="455"/>
        <v>-94.210003706634652</v>
      </c>
      <c r="BI494" s="41" t="str">
        <f t="shared" si="409"/>
        <v>0,369985139271707+0,089128795175894i</v>
      </c>
      <c r="BJ494" s="20">
        <f t="shared" si="456"/>
        <v>-8.3913263715184208</v>
      </c>
      <c r="BK494" s="43">
        <f t="shared" si="410"/>
        <v>13.544389607626655</v>
      </c>
      <c r="BL494">
        <f t="shared" si="457"/>
        <v>-14.610190851706777</v>
      </c>
      <c r="BM494" s="43">
        <f t="shared" si="458"/>
        <v>-94.210003706634652</v>
      </c>
    </row>
    <row r="495" spans="14:65" x14ac:dyDescent="0.25">
      <c r="N495" s="9">
        <v>77</v>
      </c>
      <c r="O495" s="34">
        <f t="shared" si="459"/>
        <v>588843.65535558888</v>
      </c>
      <c r="P495" s="33" t="str">
        <f t="shared" si="411"/>
        <v>54,631621870174</v>
      </c>
      <c r="Q495" s="4" t="str">
        <f t="shared" si="412"/>
        <v>1+16515,5994218991i</v>
      </c>
      <c r="R495" s="4">
        <f t="shared" si="424"/>
        <v>16515.599452173505</v>
      </c>
      <c r="S495" s="4">
        <f t="shared" si="425"/>
        <v>1.570735777978397</v>
      </c>
      <c r="T495" s="4" t="str">
        <f t="shared" si="413"/>
        <v>1+55,9411847097692i</v>
      </c>
      <c r="U495" s="4">
        <f t="shared" si="426"/>
        <v>55.950121954581263</v>
      </c>
      <c r="V495" s="4">
        <f t="shared" si="427"/>
        <v>1.5529223130523635</v>
      </c>
      <c r="W495" t="str">
        <f t="shared" si="414"/>
        <v>1-14,7228127802668i</v>
      </c>
      <c r="X495" s="4">
        <f t="shared" si="428"/>
        <v>14.756734603657661</v>
      </c>
      <c r="Y495" s="4">
        <f t="shared" si="429"/>
        <v>-1.502978684399356</v>
      </c>
      <c r="Z495" t="str">
        <f t="shared" si="415"/>
        <v>-0,38694740181013+2,02279539727136i</v>
      </c>
      <c r="AA495" s="4">
        <f t="shared" si="430"/>
        <v>2.0594731148985193</v>
      </c>
      <c r="AB495" s="4">
        <f t="shared" si="431"/>
        <v>1.7598063082967823</v>
      </c>
      <c r="AC495" s="47" t="str">
        <f t="shared" si="432"/>
        <v>-1,31333492910904+0,183746190676015i</v>
      </c>
      <c r="AD495" s="20">
        <f t="shared" si="433"/>
        <v>2.4516985905657624</v>
      </c>
      <c r="AE495" s="43">
        <f t="shared" si="434"/>
        <v>172.03555410112207</v>
      </c>
      <c r="AF495" t="str">
        <f t="shared" si="416"/>
        <v>171,265703090588</v>
      </c>
      <c r="AG495" t="str">
        <f t="shared" si="417"/>
        <v>1+16357,5448474585i</v>
      </c>
      <c r="AH495">
        <f t="shared" si="435"/>
        <v>16357.544878025434</v>
      </c>
      <c r="AI495">
        <f t="shared" si="436"/>
        <v>1.5707351929262092</v>
      </c>
      <c r="AJ495" t="str">
        <f t="shared" si="418"/>
        <v>1+55,9411847097692i</v>
      </c>
      <c r="AK495">
        <f t="shared" si="437"/>
        <v>55.950121954581263</v>
      </c>
      <c r="AL495">
        <f t="shared" si="438"/>
        <v>1.5529223130523635</v>
      </c>
      <c r="AM495" t="str">
        <f t="shared" si="419"/>
        <v>1-4,65144516076253i</v>
      </c>
      <c r="AN495">
        <f t="shared" si="439"/>
        <v>4.7577244648656531</v>
      </c>
      <c r="AO495">
        <f t="shared" si="440"/>
        <v>-1.3590326419106311</v>
      </c>
      <c r="AP495" s="41" t="str">
        <f t="shared" si="441"/>
        <v>0,537177689595115-2,73484341246152i</v>
      </c>
      <c r="AQ495">
        <f t="shared" si="442"/>
        <v>8.903052116712276</v>
      </c>
      <c r="AR495" s="43">
        <f t="shared" si="443"/>
        <v>-78.887437439738164</v>
      </c>
      <c r="AS495" t="str">
        <f t="shared" si="420"/>
        <v>-0,0000166666666666667</v>
      </c>
      <c r="AT495" t="str">
        <f t="shared" si="421"/>
        <v>0,00567181456085159i</v>
      </c>
      <c r="AU495">
        <f t="shared" si="444"/>
        <v>5.6718145608515898E-3</v>
      </c>
      <c r="AV495">
        <f t="shared" si="445"/>
        <v>1.5707963267948966</v>
      </c>
      <c r="AW495" t="str">
        <f t="shared" si="422"/>
        <v>1+26,282434651485i</v>
      </c>
      <c r="AX495">
        <f t="shared" si="446"/>
        <v>26.30145188406107</v>
      </c>
      <c r="AY495">
        <f t="shared" si="447"/>
        <v>1.5327664457679546</v>
      </c>
      <c r="AZ495" t="str">
        <f t="shared" si="423"/>
        <v>1+1220,93855517353i</v>
      </c>
      <c r="BA495">
        <f t="shared" si="448"/>
        <v>1220.9389646944792</v>
      </c>
      <c r="BB495">
        <f t="shared" si="449"/>
        <v>1.5699772849420919</v>
      </c>
      <c r="BC495" s="41" t="str">
        <f t="shared" si="450"/>
        <v>-0,00507469789356851+0,136313922742039i</v>
      </c>
      <c r="BD495">
        <f t="shared" si="451"/>
        <v>-17.303180852467506</v>
      </c>
      <c r="BE495" s="43">
        <f t="shared" si="452"/>
        <v>92.132024036818137</v>
      </c>
      <c r="BF495" s="41" t="str">
        <f t="shared" si="453"/>
        <v>-0,0183823860416547-0,179958292467766i</v>
      </c>
      <c r="BG495" s="20">
        <f t="shared" si="454"/>
        <v>-14.851482261901731</v>
      </c>
      <c r="BH495" s="43">
        <f t="shared" si="455"/>
        <v>-95.832421862059803</v>
      </c>
      <c r="BI495" s="41" t="str">
        <f t="shared" si="409"/>
        <v>0,370071219147994+0,0871033021826737i</v>
      </c>
      <c r="BJ495" s="20">
        <f t="shared" si="456"/>
        <v>-8.400128735755219</v>
      </c>
      <c r="BK495" s="43">
        <f t="shared" si="410"/>
        <v>13.244586597079953</v>
      </c>
      <c r="BL495">
        <f t="shared" si="457"/>
        <v>-14.851482261901731</v>
      </c>
      <c r="BM495" s="43">
        <f t="shared" si="458"/>
        <v>-95.832421862059803</v>
      </c>
    </row>
    <row r="496" spans="14:65" x14ac:dyDescent="0.25">
      <c r="N496" s="9">
        <v>78</v>
      </c>
      <c r="O496" s="34">
        <f t="shared" si="459"/>
        <v>602559.58607435878</v>
      </c>
      <c r="P496" s="33" t="str">
        <f t="shared" si="411"/>
        <v>54,631621870174</v>
      </c>
      <c r="Q496" s="4" t="str">
        <f t="shared" si="412"/>
        <v>1+16900,2971517454i</v>
      </c>
      <c r="R496" s="4">
        <f t="shared" si="424"/>
        <v>16900.297181330679</v>
      </c>
      <c r="S496" s="4">
        <f t="shared" si="425"/>
        <v>1.570737156237725</v>
      </c>
      <c r="T496" s="4" t="str">
        <f t="shared" si="413"/>
        <v>1+57,24422229339i</v>
      </c>
      <c r="U496" s="4">
        <f t="shared" si="426"/>
        <v>57.252956133068352</v>
      </c>
      <c r="V496" s="4">
        <f t="shared" si="427"/>
        <v>1.5533290915624738</v>
      </c>
      <c r="W496" t="str">
        <f t="shared" si="414"/>
        <v>1-15,0657511447086i</v>
      </c>
      <c r="X496" s="4">
        <f t="shared" si="428"/>
        <v>15.098902528140529</v>
      </c>
      <c r="Y496" s="4">
        <f t="shared" si="429"/>
        <v>-1.5045178331550204</v>
      </c>
      <c r="Z496" t="str">
        <f t="shared" si="415"/>
        <v>-0,45231221908041+2,06991235484554i</v>
      </c>
      <c r="AA496" s="4">
        <f t="shared" si="430"/>
        <v>2.1187551770489326</v>
      </c>
      <c r="AB496" s="4">
        <f t="shared" si="431"/>
        <v>1.7859322005110179</v>
      </c>
      <c r="AC496" s="47" t="str">
        <f t="shared" si="432"/>
        <v>-1,30071320175257+0,218278756028725i</v>
      </c>
      <c r="AD496" s="20">
        <f t="shared" si="433"/>
        <v>2.4042454507061852</v>
      </c>
      <c r="AE496" s="43">
        <f t="shared" si="434"/>
        <v>170.47369173687369</v>
      </c>
      <c r="AF496" t="str">
        <f t="shared" si="416"/>
        <v>171,265703090588</v>
      </c>
      <c r="AG496" t="str">
        <f t="shared" si="417"/>
        <v>1+16738,5610133225i</v>
      </c>
      <c r="AH496">
        <f t="shared" si="435"/>
        <v>16738.561043193644</v>
      </c>
      <c r="AI496">
        <f t="shared" si="436"/>
        <v>1.5707365845029508</v>
      </c>
      <c r="AJ496" t="str">
        <f t="shared" si="418"/>
        <v>1+57,24422229339i</v>
      </c>
      <c r="AK496">
        <f t="shared" si="437"/>
        <v>57.252956133068352</v>
      </c>
      <c r="AL496">
        <f t="shared" si="438"/>
        <v>1.5533290915624738</v>
      </c>
      <c r="AM496" t="str">
        <f t="shared" si="419"/>
        <v>1-4,75979123698652i</v>
      </c>
      <c r="AN496">
        <f t="shared" si="439"/>
        <v>4.8637035908547785</v>
      </c>
      <c r="AO496">
        <f t="shared" si="440"/>
        <v>-1.3637148249541946</v>
      </c>
      <c r="AP496" s="41" t="str">
        <f t="shared" si="441"/>
        <v>0,53717766087713-2,79806540127473i</v>
      </c>
      <c r="AQ496">
        <f t="shared" si="442"/>
        <v>9.0943459321689577</v>
      </c>
      <c r="AR496" s="43">
        <f t="shared" si="443"/>
        <v>-79.132479806690313</v>
      </c>
      <c r="AS496" t="str">
        <f t="shared" si="420"/>
        <v>-0,0000166666666666667</v>
      </c>
      <c r="AT496" t="str">
        <f t="shared" si="421"/>
        <v>0,00580392809363538i</v>
      </c>
      <c r="AU496">
        <f t="shared" si="444"/>
        <v>5.8039280936353797E-3</v>
      </c>
      <c r="AV496">
        <f t="shared" si="445"/>
        <v>1.5707963267948966</v>
      </c>
      <c r="AW496" t="str">
        <f t="shared" si="422"/>
        <v>1+26,8946311989415i</v>
      </c>
      <c r="AX496">
        <f t="shared" si="446"/>
        <v>26.913215848855323</v>
      </c>
      <c r="AY496">
        <f t="shared" si="447"/>
        <v>1.5336313053723818</v>
      </c>
      <c r="AZ496" t="str">
        <f t="shared" si="423"/>
        <v>1+1249,37786751446i</v>
      </c>
      <c r="BA496">
        <f t="shared" si="448"/>
        <v>1249.3782677135773</v>
      </c>
      <c r="BB496">
        <f t="shared" si="449"/>
        <v>1.5699959286027598</v>
      </c>
      <c r="BC496" s="41" t="str">
        <f t="shared" si="450"/>
        <v>-0,00484661419303969+0,133219519678588i</v>
      </c>
      <c r="BD496">
        <f t="shared" si="451"/>
        <v>-17.502898415541427</v>
      </c>
      <c r="BE496" s="43">
        <f t="shared" si="452"/>
        <v>92.083539434684042</v>
      </c>
      <c r="BF496" s="41" t="str">
        <f t="shared" si="453"/>
        <v>-0,0227749359694983-0,174338300894084i</v>
      </c>
      <c r="BG496" s="20">
        <f t="shared" si="454"/>
        <v>-15.098652964835221</v>
      </c>
      <c r="BH496" s="43">
        <f t="shared" si="455"/>
        <v>-97.442768828442212</v>
      </c>
      <c r="BI496" s="41" t="str">
        <f t="shared" si="409"/>
        <v>0,370153435911704+0,0851236934509901i</v>
      </c>
      <c r="BJ496" s="20">
        <f t="shared" si="456"/>
        <v>-8.408552483372473</v>
      </c>
      <c r="BK496" s="43">
        <f t="shared" si="410"/>
        <v>12.951059627993747</v>
      </c>
      <c r="BL496">
        <f t="shared" si="457"/>
        <v>-15.098652964835221</v>
      </c>
      <c r="BM496" s="43">
        <f t="shared" si="458"/>
        <v>-97.442768828442212</v>
      </c>
    </row>
    <row r="497" spans="14:65" x14ac:dyDescent="0.25">
      <c r="N497" s="9">
        <v>79</v>
      </c>
      <c r="O497" s="34">
        <f t="shared" si="459"/>
        <v>616595.00186148309</v>
      </c>
      <c r="P497" s="33" t="str">
        <f t="shared" si="411"/>
        <v>54,631621870174</v>
      </c>
      <c r="Q497" s="4" t="str">
        <f t="shared" si="412"/>
        <v>1+17293,9556428435i</v>
      </c>
      <c r="R497" s="4">
        <f t="shared" si="424"/>
        <v>17293.955671755335</v>
      </c>
      <c r="S497" s="4">
        <f t="shared" si="425"/>
        <v>1.5707385031240408</v>
      </c>
      <c r="T497" s="4" t="str">
        <f t="shared" si="413"/>
        <v>1+58,5776115213878i</v>
      </c>
      <c r="U497" s="4">
        <f t="shared" si="426"/>
        <v>58.586146583903478</v>
      </c>
      <c r="V497" s="4">
        <f t="shared" si="427"/>
        <v>1.55372661624956</v>
      </c>
      <c r="W497" t="str">
        <f t="shared" si="414"/>
        <v>1-15,4166775698261i</v>
      </c>
      <c r="X497" s="4">
        <f t="shared" si="428"/>
        <v>15.449075936507631</v>
      </c>
      <c r="Y497" s="4">
        <f t="shared" si="429"/>
        <v>-1.5060222505512466</v>
      </c>
      <c r="Z497" t="str">
        <f t="shared" si="415"/>
        <v>-0,52075758528225+2,1181268073488i</v>
      </c>
      <c r="AA497" s="4">
        <f t="shared" si="430"/>
        <v>2.1812037123200163</v>
      </c>
      <c r="AB497" s="4">
        <f t="shared" si="431"/>
        <v>1.8118724819032794</v>
      </c>
      <c r="AC497" s="47" t="str">
        <f t="shared" si="432"/>
        <v>-1,28642673982325+0,251829073047818i</v>
      </c>
      <c r="AD497" s="20">
        <f t="shared" si="433"/>
        <v>2.3510193179365002</v>
      </c>
      <c r="AE497" s="43">
        <f t="shared" si="434"/>
        <v>168.92392564220648</v>
      </c>
      <c r="AF497" t="str">
        <f t="shared" si="416"/>
        <v>171,265703090588</v>
      </c>
      <c r="AG497" t="str">
        <f t="shared" si="417"/>
        <v>1+17128,4521857967i</v>
      </c>
      <c r="AH497">
        <f t="shared" si="435"/>
        <v>17128.452214987898</v>
      </c>
      <c r="AI497">
        <f t="shared" si="436"/>
        <v>1.5707379444035388</v>
      </c>
      <c r="AJ497" t="str">
        <f t="shared" si="418"/>
        <v>1+58,5776115213878i</v>
      </c>
      <c r="AK497">
        <f t="shared" si="437"/>
        <v>58.586146583903478</v>
      </c>
      <c r="AL497">
        <f t="shared" si="438"/>
        <v>1.55372661624956</v>
      </c>
      <c r="AM497" t="str">
        <f t="shared" si="419"/>
        <v>1-4,87066101752766i</v>
      </c>
      <c r="AN497">
        <f t="shared" si="439"/>
        <v>4.9722569068445752</v>
      </c>
      <c r="AO497">
        <f t="shared" si="440"/>
        <v>-1.368299346833131</v>
      </c>
      <c r="AP497" s="41" t="str">
        <f t="shared" si="441"/>
        <v>0,537177633451674-2,86277096140035i</v>
      </c>
      <c r="AQ497">
        <f t="shared" si="442"/>
        <v>9.2860154989738248</v>
      </c>
      <c r="AR497" s="43">
        <f t="shared" si="443"/>
        <v>-79.372454991180675</v>
      </c>
      <c r="AS497" t="str">
        <f t="shared" si="420"/>
        <v>-0,0000166666666666667</v>
      </c>
      <c r="AT497" t="str">
        <f t="shared" si="421"/>
        <v>0,00593911894591848i</v>
      </c>
      <c r="AU497">
        <f t="shared" si="444"/>
        <v>5.93911894591848E-3</v>
      </c>
      <c r="AV497">
        <f t="shared" si="445"/>
        <v>1.5707963267948966</v>
      </c>
      <c r="AW497" t="str">
        <f t="shared" si="422"/>
        <v>1+27,5210876358522i</v>
      </c>
      <c r="AX497">
        <f t="shared" si="446"/>
        <v>27.539249529721342</v>
      </c>
      <c r="AY497">
        <f t="shared" si="447"/>
        <v>1.5344765321199789</v>
      </c>
      <c r="AZ497" t="str">
        <f t="shared" si="423"/>
        <v>1+1278,47961653823i</v>
      </c>
      <c r="BA497">
        <f t="shared" si="448"/>
        <v>1278.4800076277061</v>
      </c>
      <c r="BB497">
        <f t="shared" si="449"/>
        <v>1.5700141478824372</v>
      </c>
      <c r="BC497" s="41" t="str">
        <f t="shared" si="450"/>
        <v>-0,00462876824114634+0,130194988788884i</v>
      </c>
      <c r="BD497">
        <f t="shared" si="451"/>
        <v>-17.702628673207531</v>
      </c>
      <c r="BE497" s="43">
        <f t="shared" si="452"/>
        <v>92.03615539714643</v>
      </c>
      <c r="BF497" s="41" t="str">
        <f t="shared" si="453"/>
        <v>-0,0268323121043204-0,16865197338453i</v>
      </c>
      <c r="BG497" s="20">
        <f t="shared" si="454"/>
        <v>-15.351609355271014</v>
      </c>
      <c r="BH497" s="43">
        <f t="shared" si="455"/>
        <v>-99.039918960647043</v>
      </c>
      <c r="BI497" s="41" t="str">
        <f t="shared" si="409"/>
        <v>0,370231962455086+0,0831889392726858i</v>
      </c>
      <c r="BJ497" s="20">
        <f t="shared" si="456"/>
        <v>-8.4166131742337082</v>
      </c>
      <c r="BK497" s="43">
        <f t="shared" si="410"/>
        <v>12.663700405965759</v>
      </c>
      <c r="BL497">
        <f t="shared" si="457"/>
        <v>-15.351609355271014</v>
      </c>
      <c r="BM497" s="43">
        <f t="shared" si="458"/>
        <v>-99.039918960647043</v>
      </c>
    </row>
    <row r="498" spans="14:65" x14ac:dyDescent="0.25">
      <c r="N498" s="9">
        <v>80</v>
      </c>
      <c r="O498" s="34">
        <f t="shared" si="459"/>
        <v>630957.34448019415</v>
      </c>
      <c r="P498" s="33" t="str">
        <f t="shared" si="411"/>
        <v>54,631621870174</v>
      </c>
      <c r="Q498" s="4" t="str">
        <f t="shared" si="412"/>
        <v>1+17696,7836181359i</v>
      </c>
      <c r="R498" s="4">
        <f t="shared" si="424"/>
        <v>17696.783646389624</v>
      </c>
      <c r="S498" s="4">
        <f t="shared" si="425"/>
        <v>1.5707398193514812</v>
      </c>
      <c r="T498" s="4" t="str">
        <f t="shared" si="413"/>
        <v>1+59,9420593743804i</v>
      </c>
      <c r="U498" s="4">
        <f t="shared" si="426"/>
        <v>59.95040018249874</v>
      </c>
      <c r="V498" s="4">
        <f t="shared" si="427"/>
        <v>1.5541150973836315</v>
      </c>
      <c r="W498" t="str">
        <f t="shared" si="414"/>
        <v>1-15,7757781214549i</v>
      </c>
      <c r="X498" s="4">
        <f t="shared" si="428"/>
        <v>15.807440505577588</v>
      </c>
      <c r="Y498" s="4">
        <f t="shared" si="429"/>
        <v>-1.5074927069954678</v>
      </c>
      <c r="Z498" t="str">
        <f t="shared" si="415"/>
        <v>-0,59242868221399+2,16746431872203i</v>
      </c>
      <c r="AA498" s="4">
        <f t="shared" si="430"/>
        <v>2.2469698076393816</v>
      </c>
      <c r="AB498" s="4">
        <f t="shared" si="431"/>
        <v>1.8376074269111107</v>
      </c>
      <c r="AC498" s="47" t="str">
        <f t="shared" si="432"/>
        <v>-1,27056678462637+0,284299785965864i</v>
      </c>
      <c r="AD498" s="20">
        <f t="shared" si="433"/>
        <v>2.2921231575357375</v>
      </c>
      <c r="AE498" s="43">
        <f t="shared" si="434"/>
        <v>167.3873538741702</v>
      </c>
      <c r="AF498" t="str">
        <f t="shared" si="416"/>
        <v>171,265703090588</v>
      </c>
      <c r="AG498" t="str">
        <f t="shared" si="417"/>
        <v>1+17527,4250903417i</v>
      </c>
      <c r="AH498">
        <f t="shared" si="435"/>
        <v>17527.425118868425</v>
      </c>
      <c r="AI498">
        <f t="shared" si="436"/>
        <v>1.5707392733490104</v>
      </c>
      <c r="AJ498" t="str">
        <f t="shared" si="418"/>
        <v>1+59,9420593743804i</v>
      </c>
      <c r="AK498">
        <f t="shared" si="437"/>
        <v>59.95040018249874</v>
      </c>
      <c r="AL498">
        <f t="shared" si="438"/>
        <v>1.5541150973836315</v>
      </c>
      <c r="AM498" t="str">
        <f t="shared" si="419"/>
        <v>1-4,98411328701109i</v>
      </c>
      <c r="AN498">
        <f t="shared" si="439"/>
        <v>5.0834422646234998</v>
      </c>
      <c r="AO498">
        <f t="shared" si="440"/>
        <v>-1.3727878671058302</v>
      </c>
      <c r="AP498" s="41" t="str">
        <f t="shared" si="441"/>
        <v>0,537177607260563-2,92899440058279i</v>
      </c>
      <c r="AQ498">
        <f t="shared" si="442"/>
        <v>9.4780452653715894</v>
      </c>
      <c r="AR498" s="43">
        <f t="shared" si="443"/>
        <v>-79.607446072629244</v>
      </c>
      <c r="AS498" t="str">
        <f t="shared" si="420"/>
        <v>-0,0000166666666666667</v>
      </c>
      <c r="AT498" t="str">
        <f t="shared" si="421"/>
        <v>0,00607745879768024i</v>
      </c>
      <c r="AU498">
        <f t="shared" si="444"/>
        <v>6.0774587976802404E-3</v>
      </c>
      <c r="AV498">
        <f t="shared" si="445"/>
        <v>1.5707963267948966</v>
      </c>
      <c r="AW498" t="str">
        <f t="shared" si="422"/>
        <v>1+28,162136117712i</v>
      </c>
      <c r="AX498">
        <f t="shared" si="446"/>
        <v>28.179884859816916</v>
      </c>
      <c r="AY498">
        <f t="shared" si="447"/>
        <v>1.5353025693277016</v>
      </c>
      <c r="AZ498" t="str">
        <f t="shared" si="423"/>
        <v>1+1308,25923237735i</v>
      </c>
      <c r="BA498">
        <f t="shared" si="448"/>
        <v>1308.2596145645452</v>
      </c>
      <c r="BB498">
        <f t="shared" si="449"/>
        <v>1.5700319524411788</v>
      </c>
      <c r="BC498" s="41" t="str">
        <f t="shared" si="450"/>
        <v>-0,00442070169666521+0,127238777192703i</v>
      </c>
      <c r="BD498">
        <f t="shared" si="451"/>
        <v>-17.902371055623419</v>
      </c>
      <c r="BE498" s="43">
        <f t="shared" si="452"/>
        <v>91.989847077495156</v>
      </c>
      <c r="BF498" s="41" t="str">
        <f t="shared" si="453"/>
        <v>-0,0305571603819195-0,162922168563705i</v>
      </c>
      <c r="BG498" s="20">
        <f t="shared" si="454"/>
        <v>-15.610247898087659</v>
      </c>
      <c r="BH498" s="43">
        <f t="shared" si="455"/>
        <v>-100.62279904833463</v>
      </c>
      <c r="BI498" s="41" t="str">
        <f t="shared" ref="BI498:BI560" si="460">IMPRODUCT(AP498,BC498)</f>
        <v>0,370306963974601+0,0812980323993153i</v>
      </c>
      <c r="BJ498" s="20">
        <f t="shared" si="456"/>
        <v>-8.424325790251828</v>
      </c>
      <c r="BK498" s="43">
        <f t="shared" ref="BK498:BK560" si="461">(180/PI())*IMARGUMENT(BI498)</f>
        <v>12.382401004865908</v>
      </c>
      <c r="BL498">
        <f t="shared" si="457"/>
        <v>-15.610247898087659</v>
      </c>
      <c r="BM498" s="43">
        <f t="shared" si="458"/>
        <v>-100.62279904833463</v>
      </c>
    </row>
    <row r="499" spans="14:65" x14ac:dyDescent="0.25">
      <c r="N499" s="9">
        <v>81</v>
      </c>
      <c r="O499" s="34">
        <f t="shared" si="459"/>
        <v>645654.22903465747</v>
      </c>
      <c r="P499" s="33" t="str">
        <f t="shared" si="411"/>
        <v>54,631621870174</v>
      </c>
      <c r="Q499" s="4" t="str">
        <f t="shared" si="412"/>
        <v>1+18108,9946623474i</v>
      </c>
      <c r="R499" s="4">
        <f t="shared" si="424"/>
        <v>18108.994689957985</v>
      </c>
      <c r="S499" s="4">
        <f t="shared" si="425"/>
        <v>1.5707411056179275</v>
      </c>
      <c r="T499" s="4" t="str">
        <f t="shared" si="413"/>
        <v>1+61,3382893006805i</v>
      </c>
      <c r="U499" s="4">
        <f t="shared" si="426"/>
        <v>61.346440274346612</v>
      </c>
      <c r="V499" s="4">
        <f t="shared" si="427"/>
        <v>1.5544947404732292</v>
      </c>
      <c r="W499" t="str">
        <f t="shared" si="414"/>
        <v>1-16,1432431994608i</v>
      </c>
      <c r="X499" s="4">
        <f t="shared" si="428"/>
        <v>16.174186254551955</v>
      </c>
      <c r="Y499" s="4">
        <f t="shared" si="429"/>
        <v>-1.5089299566929542</v>
      </c>
      <c r="Z499" t="str">
        <f t="shared" si="415"/>
        <v>-0,66747753388135+2,21795104836684i</v>
      </c>
      <c r="AA499" s="4">
        <f t="shared" si="430"/>
        <v>2.3162109384051992</v>
      </c>
      <c r="AB499" s="4">
        <f t="shared" si="431"/>
        <v>1.8631183200873749</v>
      </c>
      <c r="AC499" s="47" t="str">
        <f t="shared" si="432"/>
        <v>-1,25323117239213+0,315603492105407i</v>
      </c>
      <c r="AD499" s="20">
        <f t="shared" si="433"/>
        <v>2.2276690246943502</v>
      </c>
      <c r="AE499" s="43">
        <f t="shared" si="434"/>
        <v>165.86501727090544</v>
      </c>
      <c r="AF499" t="str">
        <f t="shared" si="416"/>
        <v>171,265703090588</v>
      </c>
      <c r="AG499" t="str">
        <f t="shared" si="417"/>
        <v>1+17935,6912676726i</v>
      </c>
      <c r="AH499">
        <f t="shared" si="435"/>
        <v>17935.691295549972</v>
      </c>
      <c r="AI499">
        <f t="shared" si="436"/>
        <v>1.5707405720439902</v>
      </c>
      <c r="AJ499" t="str">
        <f t="shared" si="418"/>
        <v>1+61,3382893006805i</v>
      </c>
      <c r="AK499">
        <f t="shared" si="437"/>
        <v>61.346440274346612</v>
      </c>
      <c r="AL499">
        <f t="shared" si="438"/>
        <v>1.5544947404732292</v>
      </c>
      <c r="AM499" t="str">
        <f t="shared" si="419"/>
        <v>1-5,10020819933186i</v>
      </c>
      <c r="AN499">
        <f t="shared" si="439"/>
        <v>5.1973188930959333</v>
      </c>
      <c r="AO499">
        <f t="shared" si="440"/>
        <v>-1.3771820418674019</v>
      </c>
      <c r="AP499" s="41" t="str">
        <f t="shared" si="441"/>
        <v>0,537177582248246-2,99677083136612i</v>
      </c>
      <c r="AQ499">
        <f t="shared" si="442"/>
        <v>9.6704202668571444</v>
      </c>
      <c r="AR499" s="43">
        <f t="shared" si="443"/>
        <v>-79.837536203896164</v>
      </c>
      <c r="AS499" t="str">
        <f t="shared" si="420"/>
        <v>-0,0000166666666666667</v>
      </c>
      <c r="AT499" t="str">
        <f t="shared" si="421"/>
        <v>0,00621902099854122i</v>
      </c>
      <c r="AU499">
        <f t="shared" si="444"/>
        <v>6.2190209985412198E-3</v>
      </c>
      <c r="AV499">
        <f t="shared" si="445"/>
        <v>1.5707963267948966</v>
      </c>
      <c r="AW499" t="str">
        <f t="shared" si="422"/>
        <v>1+28,8181165369115i</v>
      </c>
      <c r="AX499">
        <f t="shared" si="446"/>
        <v>28.8354615141671</v>
      </c>
      <c r="AY499">
        <f t="shared" si="447"/>
        <v>1.5361098504597472</v>
      </c>
      <c r="AZ499" t="str">
        <f t="shared" si="423"/>
        <v>1+1338,73250457834i</v>
      </c>
      <c r="BA499">
        <f t="shared" si="448"/>
        <v>1338.7328780658952</v>
      </c>
      <c r="BB499">
        <f t="shared" si="449"/>
        <v>1.5700493517191518</v>
      </c>
      <c r="BC499" s="41" t="str">
        <f t="shared" si="450"/>
        <v>-0,00422197663362351+0,12434936485961i</v>
      </c>
      <c r="BD499">
        <f t="shared" si="451"/>
        <v>-18.10212501846117</v>
      </c>
      <c r="BE499" s="43">
        <f t="shared" si="452"/>
        <v>91.944590180942797</v>
      </c>
      <c r="BF499" s="41" t="str">
        <f t="shared" si="453"/>
        <v>-0,0339539810644141-0,157170970878385i</v>
      </c>
      <c r="BG499" s="20">
        <f t="shared" si="454"/>
        <v>-15.874455993766812</v>
      </c>
      <c r="BH499" s="43">
        <f t="shared" si="455"/>
        <v>-102.19039254815173</v>
      </c>
      <c r="BI499" s="41" t="str">
        <f t="shared" si="460"/>
        <v>0,370378598309824+0,0794499875957426i</v>
      </c>
      <c r="BJ499" s="20">
        <f t="shared" si="456"/>
        <v>-8.4317047516040251</v>
      </c>
      <c r="BK499" s="43">
        <f t="shared" si="461"/>
        <v>12.107053977046656</v>
      </c>
      <c r="BL499">
        <f t="shared" si="457"/>
        <v>-15.874455993766812</v>
      </c>
      <c r="BM499" s="43">
        <f t="shared" si="458"/>
        <v>-102.19039254815173</v>
      </c>
    </row>
    <row r="500" spans="14:65" x14ac:dyDescent="0.25">
      <c r="N500" s="9">
        <v>82</v>
      </c>
      <c r="O500" s="34">
        <f t="shared" si="459"/>
        <v>660693.44800759677</v>
      </c>
      <c r="P500" s="33" t="str">
        <f t="shared" si="411"/>
        <v>54,631621870174</v>
      </c>
      <c r="Q500" s="4" t="str">
        <f t="shared" si="412"/>
        <v>1+18530,8073352296i</v>
      </c>
      <c r="R500" s="4">
        <f t="shared" si="424"/>
        <v>18530.807362211694</v>
      </c>
      <c r="S500" s="4">
        <f t="shared" si="425"/>
        <v>1.5707423626053749</v>
      </c>
      <c r="T500" s="4" t="str">
        <f t="shared" si="413"/>
        <v>1+62,7670415998758i</v>
      </c>
      <c r="U500" s="4">
        <f t="shared" si="426"/>
        <v>62.775007058546315</v>
      </c>
      <c r="V500" s="4">
        <f t="shared" si="427"/>
        <v>1.5548657463721529</v>
      </c>
      <c r="W500" t="str">
        <f t="shared" si="414"/>
        <v>1-16,5192676386922i</v>
      </c>
      <c r="X500" s="4">
        <f t="shared" si="428"/>
        <v>16.549507645810593</v>
      </c>
      <c r="Y500" s="4">
        <f t="shared" si="429"/>
        <v>-1.5103347379278593</v>
      </c>
      <c r="Z500" t="str">
        <f t="shared" si="415"/>
        <v>-0,74606332896067+2,26961376501553i</v>
      </c>
      <c r="AA500" s="4">
        <f t="shared" si="430"/>
        <v>2.3890912776969921</v>
      </c>
      <c r="AB500" s="4">
        <f t="shared" si="431"/>
        <v>1.8883875173764373</v>
      </c>
      <c r="AC500" s="47" t="str">
        <f t="shared" si="432"/>
        <v>-1,23452309903002+0,345663159241048i</v>
      </c>
      <c r="AD500" s="20">
        <f t="shared" si="433"/>
        <v>2.1577771555953396</v>
      </c>
      <c r="AE500" s="43">
        <f t="shared" si="434"/>
        <v>164.35789593076655</v>
      </c>
      <c r="AF500" t="str">
        <f t="shared" si="416"/>
        <v>171,265703090588</v>
      </c>
      <c r="AG500" t="str">
        <f t="shared" si="417"/>
        <v>1+18353,4671859205i</v>
      </c>
      <c r="AH500">
        <f t="shared" si="435"/>
        <v>18353.467213163309</v>
      </c>
      <c r="AI500">
        <f t="shared" si="436"/>
        <v>1.5707418411770633</v>
      </c>
      <c r="AJ500" t="str">
        <f t="shared" si="418"/>
        <v>1+62,7670415998758i</v>
      </c>
      <c r="AK500">
        <f t="shared" si="437"/>
        <v>62.775007058546315</v>
      </c>
      <c r="AL500">
        <f t="shared" si="438"/>
        <v>1.5548657463721529</v>
      </c>
      <c r="AM500" t="str">
        <f t="shared" si="419"/>
        <v>1-5,21900730954912i</v>
      </c>
      <c r="AN500">
        <f t="shared" si="439"/>
        <v>5.3139474307831787</v>
      </c>
      <c r="AO500">
        <f t="shared" si="440"/>
        <v>-1.3814835218741544</v>
      </c>
      <c r="AP500" s="41" t="str">
        <f t="shared" si="441"/>
        <v>0,537177558361669-3,06613618971105i</v>
      </c>
      <c r="AQ500">
        <f t="shared" si="442"/>
        <v>9.8631261088070872</v>
      </c>
      <c r="AR500" s="43">
        <f t="shared" si="443"/>
        <v>-80.062808497728923</v>
      </c>
      <c r="AS500" t="str">
        <f t="shared" si="420"/>
        <v>-0,0000166666666666667</v>
      </c>
      <c r="AT500" t="str">
        <f t="shared" si="421"/>
        <v>0,00636388060665408i</v>
      </c>
      <c r="AU500">
        <f t="shared" si="444"/>
        <v>6.36388060665408E-3</v>
      </c>
      <c r="AV500">
        <f t="shared" si="445"/>
        <v>1.5707963267948966</v>
      </c>
      <c r="AW500" t="str">
        <f t="shared" si="422"/>
        <v>1+29,4893767029516i</v>
      </c>
      <c r="AX500">
        <f t="shared" si="446"/>
        <v>29.506327089771521</v>
      </c>
      <c r="AY500">
        <f t="shared" si="447"/>
        <v>1.5368987993359944</v>
      </c>
      <c r="AZ500" t="str">
        <f t="shared" si="423"/>
        <v>1+1369,91559047348i</v>
      </c>
      <c r="BA500">
        <f t="shared" si="448"/>
        <v>1369.915955459423</v>
      </c>
      <c r="BB500">
        <f t="shared" si="449"/>
        <v>1.570066354941642</v>
      </c>
      <c r="BC500" s="41" t="str">
        <f t="shared" si="450"/>
        <v>-0,00403217464116944+0,121525264026653i</v>
      </c>
      <c r="BD500">
        <f t="shared" si="451"/>
        <v>-18.30189004177085</v>
      </c>
      <c r="BE500" s="43">
        <f t="shared" si="452"/>
        <v>91.900360952969095</v>
      </c>
      <c r="BF500" s="41" t="str">
        <f t="shared" si="453"/>
        <v>-0,0370289939572086-0,151419519781703i</v>
      </c>
      <c r="BG500" s="20">
        <f t="shared" si="454"/>
        <v>-16.144112886175527</v>
      </c>
      <c r="BH500" s="43">
        <f t="shared" si="455"/>
        <v>-103.74174311626439</v>
      </c>
      <c r="BI500" s="41" t="str">
        <f t="shared" si="460"/>
        <v>0,37044701626768+0,0776438411996194i</v>
      </c>
      <c r="BJ500" s="20">
        <f t="shared" si="456"/>
        <v>-8.4387639329637594</v>
      </c>
      <c r="BK500" s="43">
        <f t="shared" si="461"/>
        <v>11.837552455240173</v>
      </c>
      <c r="BL500">
        <f t="shared" si="457"/>
        <v>-16.144112886175527</v>
      </c>
      <c r="BM500" s="43">
        <f t="shared" si="458"/>
        <v>-103.74174311626439</v>
      </c>
    </row>
    <row r="501" spans="14:65" x14ac:dyDescent="0.25">
      <c r="N501" s="9">
        <v>83</v>
      </c>
      <c r="O501" s="34">
        <f t="shared" si="459"/>
        <v>676082.97539198259</v>
      </c>
      <c r="P501" s="33" t="str">
        <f t="shared" si="411"/>
        <v>54,631621870174</v>
      </c>
      <c r="Q501" s="4" t="str">
        <f t="shared" si="412"/>
        <v>1+18962,4452874453i</v>
      </c>
      <c r="R501" s="4">
        <f t="shared" si="424"/>
        <v>18962.445313813208</v>
      </c>
      <c r="S501" s="4">
        <f t="shared" si="425"/>
        <v>1.5707435909802949</v>
      </c>
      <c r="T501" s="4" t="str">
        <f t="shared" si="413"/>
        <v>1+64,2290738153475i</v>
      </c>
      <c r="U501" s="4">
        <f t="shared" si="426"/>
        <v>64.236857980269846</v>
      </c>
      <c r="V501" s="4">
        <f t="shared" si="427"/>
        <v>1.555228311383869</v>
      </c>
      <c r="W501" t="str">
        <f t="shared" si="414"/>
        <v>1-16,904050812284i</v>
      </c>
      <c r="X501" s="4">
        <f t="shared" si="428"/>
        <v>16.933603688060007</v>
      </c>
      <c r="Y501" s="4">
        <f t="shared" si="429"/>
        <v>-1.5117077733435882</v>
      </c>
      <c r="Z501" t="str">
        <f t="shared" si="415"/>
        <v>-0,82835275845951+2,32247986092433i</v>
      </c>
      <c r="AA501" s="4">
        <f t="shared" si="430"/>
        <v>2.4657820254123388</v>
      </c>
      <c r="AB501" s="4">
        <f t="shared" si="431"/>
        <v>1.9133984950079721</v>
      </c>
      <c r="AC501" s="47" t="str">
        <f t="shared" si="432"/>
        <v>-1,21454987725602+0,374412374555188i</v>
      </c>
      <c r="AD501" s="20">
        <f t="shared" si="433"/>
        <v>2.0825750307724276</v>
      </c>
      <c r="AE501" s="43">
        <f t="shared" si="434"/>
        <v>162.86690640081218</v>
      </c>
      <c r="AF501" t="str">
        <f t="shared" si="416"/>
        <v>171,265703090588</v>
      </c>
      <c r="AG501" t="str">
        <f t="shared" si="417"/>
        <v>1+18780,9743554072i</v>
      </c>
      <c r="AH501">
        <f t="shared" si="435"/>
        <v>18780.974382029886</v>
      </c>
      <c r="AI501">
        <f t="shared" si="436"/>
        <v>1.5707430814211407</v>
      </c>
      <c r="AJ501" t="str">
        <f t="shared" si="418"/>
        <v>1+64,2290738153475i</v>
      </c>
      <c r="AK501">
        <f t="shared" si="437"/>
        <v>64.236857980269846</v>
      </c>
      <c r="AL501">
        <f t="shared" si="438"/>
        <v>1.555228311383869</v>
      </c>
      <c r="AM501" t="str">
        <f t="shared" si="419"/>
        <v>1-5,34057360652365i</v>
      </c>
      <c r="AN501">
        <f t="shared" si="439"/>
        <v>5.4333899590124242</v>
      </c>
      <c r="AO501">
        <f t="shared" si="440"/>
        <v>-1.3856939508078931</v>
      </c>
      <c r="AP501" s="41" t="str">
        <f t="shared" si="441"/>
        <v>0,537177535550168-3,13712725404877i</v>
      </c>
      <c r="AQ501">
        <f t="shared" si="442"/>
        <v>10.056148949199287</v>
      </c>
      <c r="AR501" s="43">
        <f t="shared" si="443"/>
        <v>-80.283345921352634</v>
      </c>
      <c r="AS501" t="str">
        <f t="shared" si="420"/>
        <v>-0,0000166666666666667</v>
      </c>
      <c r="AT501" t="str">
        <f t="shared" si="421"/>
        <v>0,00651211442850051i</v>
      </c>
      <c r="AU501">
        <f t="shared" si="444"/>
        <v>6.5121144285005097E-3</v>
      </c>
      <c r="AV501">
        <f t="shared" si="445"/>
        <v>1.5707963267948966</v>
      </c>
      <c r="AW501" t="str">
        <f t="shared" si="422"/>
        <v>1+30,1762725268577i</v>
      </c>
      <c r="AX501">
        <f t="shared" si="446"/>
        <v>30.192837289913427</v>
      </c>
      <c r="AY501">
        <f t="shared" si="447"/>
        <v>1.5376698303367464</v>
      </c>
      <c r="AZ501" t="str">
        <f t="shared" si="423"/>
        <v>1+1401,82502374766i</v>
      </c>
      <c r="BA501">
        <f t="shared" si="448"/>
        <v>1401.8253804255105</v>
      </c>
      <c r="BB501">
        <f t="shared" si="449"/>
        <v>1.5700829711239435</v>
      </c>
      <c r="BC501" s="41" t="str">
        <f t="shared" si="450"/>
        <v>-0,00385089596231792+0,11876501861841i</v>
      </c>
      <c r="BD501">
        <f t="shared" si="451"/>
        <v>-18.50166562889401</v>
      </c>
      <c r="BE501" s="43">
        <f t="shared" si="452"/>
        <v>91.857136167869726</v>
      </c>
      <c r="BF501" s="41" t="str">
        <f t="shared" si="453"/>
        <v>-0,0397899874166511-0,145687861886715i</v>
      </c>
      <c r="BG501" s="20">
        <f t="shared" si="454"/>
        <v>-16.419090598121596</v>
      </c>
      <c r="BH501" s="43">
        <f t="shared" si="455"/>
        <v>-105.2759574313181</v>
      </c>
      <c r="BI501" s="41" t="str">
        <f t="shared" si="460"/>
        <v>0,370512361932726+0,0758786506869012i</v>
      </c>
      <c r="BJ501" s="20">
        <f t="shared" si="456"/>
        <v>-8.4455166796947161</v>
      </c>
      <c r="BK501" s="43">
        <f t="shared" si="461"/>
        <v>11.573790246517079</v>
      </c>
      <c r="BL501">
        <f t="shared" si="457"/>
        <v>-16.419090598121596</v>
      </c>
      <c r="BM501" s="43">
        <f t="shared" si="458"/>
        <v>-105.2759574313181</v>
      </c>
    </row>
    <row r="502" spans="14:65" x14ac:dyDescent="0.25">
      <c r="N502" s="9">
        <v>84</v>
      </c>
      <c r="O502" s="34">
        <f t="shared" si="459"/>
        <v>691830.97091893724</v>
      </c>
      <c r="P502" s="33" t="str">
        <f t="shared" si="411"/>
        <v>54,631621870174</v>
      </c>
      <c r="Q502" s="4" t="str">
        <f t="shared" si="412"/>
        <v>1+19404,1373791499i</v>
      </c>
      <c r="R502" s="4">
        <f t="shared" si="424"/>
        <v>19404.137404917597</v>
      </c>
      <c r="S502" s="4">
        <f t="shared" si="425"/>
        <v>1.5707447913939883</v>
      </c>
      <c r="T502" s="4" t="str">
        <f t="shared" si="413"/>
        <v>1+65,7251611359283i</v>
      </c>
      <c r="U502" s="4">
        <f t="shared" si="426"/>
        <v>65.732768132368648</v>
      </c>
      <c r="V502" s="4">
        <f t="shared" si="427"/>
        <v>1.5555826273636435</v>
      </c>
      <c r="W502" t="str">
        <f t="shared" si="414"/>
        <v>1-17,297796737368i</v>
      </c>
      <c r="X502" s="4">
        <f t="shared" si="428"/>
        <v>17.326678041889593</v>
      </c>
      <c r="Y502" s="4">
        <f t="shared" si="429"/>
        <v>-1.5130497702221313</v>
      </c>
      <c r="Z502" t="str">
        <f t="shared" si="415"/>
        <v>-0,91452036929056+2,37657736639705i</v>
      </c>
      <c r="AA502" s="4">
        <f t="shared" si="430"/>
        <v>2.5464617578746558</v>
      </c>
      <c r="AB502" s="4">
        <f t="shared" si="431"/>
        <v>1.9381358860812719</v>
      </c>
      <c r="AC502" s="47" t="str">
        <f t="shared" si="432"/>
        <v>-1,19342171044231+0,40179543159388i</v>
      </c>
      <c r="AD502" s="20">
        <f t="shared" si="433"/>
        <v>2.0021964248499029</v>
      </c>
      <c r="AE502" s="43">
        <f t="shared" si="434"/>
        <v>161.39289957050406</v>
      </c>
      <c r="AF502" t="str">
        <f t="shared" si="416"/>
        <v>171,265703090588</v>
      </c>
      <c r="AG502" t="str">
        <f t="shared" si="417"/>
        <v>1+19218,4394460927i</v>
      </c>
      <c r="AH502">
        <f t="shared" si="435"/>
        <v>19218.439472109381</v>
      </c>
      <c r="AI502">
        <f t="shared" si="436"/>
        <v>1.5707442934338163</v>
      </c>
      <c r="AJ502" t="str">
        <f t="shared" si="418"/>
        <v>1+65,7251611359283i</v>
      </c>
      <c r="AK502">
        <f t="shared" si="437"/>
        <v>65.732768132368648</v>
      </c>
      <c r="AL502">
        <f t="shared" si="438"/>
        <v>1.5555826273636435</v>
      </c>
      <c r="AM502" t="str">
        <f t="shared" si="419"/>
        <v>1-5,4649715463152i</v>
      </c>
      <c r="AN502">
        <f t="shared" si="439"/>
        <v>5.5557100358131315</v>
      </c>
      <c r="AO502">
        <f t="shared" si="440"/>
        <v>-1.3898149636735244</v>
      </c>
      <c r="AP502" s="41" t="str">
        <f t="shared" si="441"/>
        <v>0,537177513765349-3,20978166478127i</v>
      </c>
      <c r="AQ502">
        <f t="shared" si="442"/>
        <v>10.249475481464149</v>
      </c>
      <c r="AR502" s="43">
        <f t="shared" si="443"/>
        <v>-80.499231198828397</v>
      </c>
      <c r="AS502" t="str">
        <f t="shared" si="420"/>
        <v>-0,0000166666666666667</v>
      </c>
      <c r="AT502" t="str">
        <f t="shared" si="421"/>
        <v>0,00666380105961496i</v>
      </c>
      <c r="AU502">
        <f t="shared" si="444"/>
        <v>6.6638010596149601E-3</v>
      </c>
      <c r="AV502">
        <f t="shared" si="445"/>
        <v>1.5707963267948966</v>
      </c>
      <c r="AW502" t="str">
        <f t="shared" si="422"/>
        <v>1+30,8791682098877i</v>
      </c>
      <c r="AX502">
        <f t="shared" si="446"/>
        <v>30.895356112764574</v>
      </c>
      <c r="AY502">
        <f t="shared" si="447"/>
        <v>1.5384233486037955</v>
      </c>
      <c r="AZ502" t="str">
        <f t="shared" si="423"/>
        <v>1+1434,47772320478i</v>
      </c>
      <c r="BA502">
        <f t="shared" si="448"/>
        <v>1434.4780717636536</v>
      </c>
      <c r="BB502">
        <f t="shared" si="449"/>
        <v>1.5700992090761392</v>
      </c>
      <c r="BC502" s="41" t="str">
        <f t="shared" si="450"/>
        <v>-0,00367775866996754+0,116067203670052i</v>
      </c>
      <c r="BD502">
        <f t="shared" si="451"/>
        <v>-18.701451305424822</v>
      </c>
      <c r="BE502" s="43">
        <f t="shared" si="452"/>
        <v>91.81489311751055</v>
      </c>
      <c r="BF502" s="41" t="str">
        <f t="shared" si="453"/>
        <v>-0,0422461551499966-0,139994827362267i</v>
      </c>
      <c r="BG502" s="20">
        <f t="shared" si="454"/>
        <v>-16.699254880574927</v>
      </c>
      <c r="BH502" s="43">
        <f t="shared" si="455"/>
        <v>-106.79220731198541</v>
      </c>
      <c r="BI502" s="41" t="str">
        <f t="shared" si="460"/>
        <v>0,370574772964004+0,0741534942435271i</v>
      </c>
      <c r="BJ502" s="20">
        <f t="shared" si="456"/>
        <v>-8.4519758239606766</v>
      </c>
      <c r="BK502" s="43">
        <f t="shared" si="461"/>
        <v>11.315661918682167</v>
      </c>
      <c r="BL502">
        <f t="shared" si="457"/>
        <v>-16.699254880574927</v>
      </c>
      <c r="BM502" s="43">
        <f t="shared" si="458"/>
        <v>-106.79220731198541</v>
      </c>
    </row>
    <row r="503" spans="14:65" x14ac:dyDescent="0.25">
      <c r="N503" s="9">
        <v>85</v>
      </c>
      <c r="O503" s="34">
        <f t="shared" si="459"/>
        <v>707945.78438413853</v>
      </c>
      <c r="P503" s="33" t="str">
        <f t="shared" si="411"/>
        <v>54,631621870174</v>
      </c>
      <c r="Q503" s="4" t="str">
        <f t="shared" si="412"/>
        <v>1+19856,1178013372i</v>
      </c>
      <c r="R503" s="4">
        <f t="shared" si="424"/>
        <v>19856.117826518355</v>
      </c>
      <c r="S503" s="4">
        <f t="shared" si="425"/>
        <v>1.57074596448293</v>
      </c>
      <c r="T503" s="4" t="str">
        <f t="shared" si="413"/>
        <v>1+67,2560968069189i</v>
      </c>
      <c r="U503" s="4">
        <f t="shared" si="426"/>
        <v>67.263530666339889</v>
      </c>
      <c r="V503" s="4">
        <f t="shared" si="427"/>
        <v>1.5559288818184489</v>
      </c>
      <c r="W503" t="str">
        <f t="shared" si="414"/>
        <v>1-17,7007141832456i</v>
      </c>
      <c r="X503" s="4">
        <f t="shared" si="428"/>
        <v>17.728939127791939</v>
      </c>
      <c r="Y503" s="4">
        <f t="shared" si="429"/>
        <v>-1.5143614207620493</v>
      </c>
      <c r="Z503" t="str">
        <f t="shared" si="415"/>
        <v>-1,0047489345091+2,43193496464716i</v>
      </c>
      <c r="AA503" s="4">
        <f t="shared" si="430"/>
        <v>2.631316798424423</v>
      </c>
      <c r="AB503" s="4">
        <f t="shared" si="431"/>
        <v>1.9625855051379408</v>
      </c>
      <c r="AC503" s="47" t="str">
        <f t="shared" si="432"/>
        <v>-1,17125050520057+0,427767265192146i</v>
      </c>
      <c r="AD503" s="20">
        <f t="shared" si="433"/>
        <v>1.9167804560260997</v>
      </c>
      <c r="AE503" s="43">
        <f t="shared" si="434"/>
        <v>159.93665925357348</v>
      </c>
      <c r="AF503" t="str">
        <f t="shared" si="416"/>
        <v>171,265703090588</v>
      </c>
      <c r="AG503" t="str">
        <f t="shared" si="417"/>
        <v>1+19666,0944077587i</v>
      </c>
      <c r="AH503">
        <f t="shared" si="435"/>
        <v>19666.094433183171</v>
      </c>
      <c r="AI503">
        <f t="shared" si="436"/>
        <v>1.5707454778577155</v>
      </c>
      <c r="AJ503" t="str">
        <f t="shared" si="418"/>
        <v>1+67,2560968069189i</v>
      </c>
      <c r="AK503">
        <f t="shared" si="437"/>
        <v>67.263530666339889</v>
      </c>
      <c r="AL503">
        <f t="shared" si="438"/>
        <v>1.5559288818184489</v>
      </c>
      <c r="AM503" t="str">
        <f t="shared" si="419"/>
        <v>1-5,59226708635807i</v>
      </c>
      <c r="AN503">
        <f t="shared" si="439"/>
        <v>5.6809727305421713</v>
      </c>
      <c r="AO503">
        <f t="shared" si="440"/>
        <v>-1.3938481853235909</v>
      </c>
      <c r="AP503" s="41" t="str">
        <f t="shared" si="441"/>
        <v>0,537177492961009-3,28413794423882i</v>
      </c>
      <c r="AQ503">
        <f t="shared" si="442"/>
        <v>10.443092917508594</v>
      </c>
      <c r="AR503" s="43">
        <f t="shared" si="443"/>
        <v>-80.710546720810655</v>
      </c>
      <c r="AS503" t="str">
        <f t="shared" si="420"/>
        <v>-0,0000166666666666667</v>
      </c>
      <c r="AT503" t="str">
        <f t="shared" si="421"/>
        <v>0,00681902092625705i</v>
      </c>
      <c r="AU503">
        <f t="shared" si="444"/>
        <v>6.8190209262570496E-3</v>
      </c>
      <c r="AV503">
        <f t="shared" si="445"/>
        <v>1.5707963267948966</v>
      </c>
      <c r="AW503" t="str">
        <f t="shared" si="422"/>
        <v>1+31,5984364366368i</v>
      </c>
      <c r="AX503">
        <f t="shared" si="446"/>
        <v>31.614256044388835</v>
      </c>
      <c r="AY503">
        <f t="shared" si="447"/>
        <v>1.5391597502378249</v>
      </c>
      <c r="AZ503" t="str">
        <f t="shared" si="423"/>
        <v>1+1467,89100173831i</v>
      </c>
      <c r="BA503">
        <f t="shared" si="448"/>
        <v>1467.8913423630167</v>
      </c>
      <c r="BB503">
        <f t="shared" si="449"/>
        <v>1.5701150774077721</v>
      </c>
      <c r="BC503" s="41" t="str">
        <f t="shared" si="450"/>
        <v>-0,00351239787863816+0,113430424754006i</v>
      </c>
      <c r="BD503">
        <f t="shared" si="451"/>
        <v>-18.901246618217648</v>
      </c>
      <c r="BE503" s="43">
        <f t="shared" si="452"/>
        <v>91.773609600284615</v>
      </c>
      <c r="BF503" s="41" t="str">
        <f t="shared" si="453"/>
        <v>-0,0444079247967843-0,134357931133056i</v>
      </c>
      <c r="BG503" s="20">
        <f t="shared" si="454"/>
        <v>-16.984466162191577</v>
      </c>
      <c r="BH503" s="43">
        <f t="shared" si="455"/>
        <v>-108.28973114614197</v>
      </c>
      <c r="BI503" s="41" t="str">
        <f t="shared" si="460"/>
        <v>0,370634380879029+0,0724674703433588i</v>
      </c>
      <c r="BJ503" s="20">
        <f t="shared" si="456"/>
        <v>-8.4581537007090564</v>
      </c>
      <c r="BK503" s="43">
        <f t="shared" si="461"/>
        <v>11.06306287947395</v>
      </c>
      <c r="BL503">
        <f t="shared" si="457"/>
        <v>-16.984466162191577</v>
      </c>
      <c r="BM503" s="43">
        <f t="shared" si="458"/>
        <v>-108.28973114614197</v>
      </c>
    </row>
    <row r="504" spans="14:65" x14ac:dyDescent="0.25">
      <c r="N504" s="9">
        <v>86</v>
      </c>
      <c r="O504" s="34">
        <f t="shared" si="459"/>
        <v>724435.96007499192</v>
      </c>
      <c r="P504" s="33" t="str">
        <f t="shared" si="411"/>
        <v>54,631621870174</v>
      </c>
      <c r="Q504" s="4" t="str">
        <f t="shared" si="412"/>
        <v>1+20318,6262000095i</v>
      </c>
      <c r="R504" s="4">
        <f t="shared" si="424"/>
        <v>20318.626224617463</v>
      </c>
      <c r="S504" s="4">
        <f t="shared" si="425"/>
        <v>1.5707471108691078</v>
      </c>
      <c r="T504" s="4" t="str">
        <f t="shared" si="413"/>
        <v>1+68,8226925506763i</v>
      </c>
      <c r="U504" s="4">
        <f t="shared" si="426"/>
        <v>68.829957212865637</v>
      </c>
      <c r="V504" s="4">
        <f t="shared" si="427"/>
        <v>1.5562672580046839</v>
      </c>
      <c r="W504" t="str">
        <f t="shared" si="414"/>
        <v>1-18,1130167820798i</v>
      </c>
      <c r="X504" s="4">
        <f t="shared" si="428"/>
        <v>18.140600236703978</v>
      </c>
      <c r="Y504" s="4">
        <f t="shared" si="429"/>
        <v>-1.5156434023548104</v>
      </c>
      <c r="Z504" t="str">
        <f t="shared" si="415"/>
        <v>-1,09922984099911+2,48858200700598i</v>
      </c>
      <c r="AA504" s="4">
        <f t="shared" si="430"/>
        <v>2.72054160948456</v>
      </c>
      <c r="AB504" s="4">
        <f t="shared" si="431"/>
        <v>1.98673436121962</v>
      </c>
      <c r="AC504" s="47" t="str">
        <f t="shared" si="432"/>
        <v>-1,14814874188733+0,45229324725849i</v>
      </c>
      <c r="AD504" s="20">
        <f t="shared" si="433"/>
        <v>1.8264706476572647</v>
      </c>
      <c r="AE504" s="43">
        <f t="shared" si="434"/>
        <v>158.49890142961516</v>
      </c>
      <c r="AF504" t="str">
        <f t="shared" si="416"/>
        <v>171,265703090588</v>
      </c>
      <c r="AG504" t="str">
        <f t="shared" si="417"/>
        <v>1+20124,1765929913i</v>
      </c>
      <c r="AH504">
        <f t="shared" si="435"/>
        <v>20124.176617837038</v>
      </c>
      <c r="AI504">
        <f t="shared" si="436"/>
        <v>1.5707466353208352</v>
      </c>
      <c r="AJ504" t="str">
        <f t="shared" si="418"/>
        <v>1+68,8226925506763i</v>
      </c>
      <c r="AK504">
        <f t="shared" si="437"/>
        <v>68.829957212865637</v>
      </c>
      <c r="AL504">
        <f t="shared" si="438"/>
        <v>1.5562672580046839</v>
      </c>
      <c r="AM504" t="str">
        <f t="shared" si="419"/>
        <v>1-5,72252772043254i</v>
      </c>
      <c r="AN504">
        <f t="shared" si="439"/>
        <v>5.8092446592581064</v>
      </c>
      <c r="AO504">
        <f t="shared" si="440"/>
        <v>-1.3977952291034279</v>
      </c>
      <c r="AP504" s="41" t="str">
        <f>(IMDIV(IMPRODUCT(AF504,AJ504,AM504),IMPRODUCT(AG504)))</f>
        <v>0,537177473093022-3,36023551710501i</v>
      </c>
      <c r="AQ504">
        <f t="shared" si="442"/>
        <v>10.636988970947714</v>
      </c>
      <c r="AR504" s="43">
        <f t="shared" si="443"/>
        <v>-80.917374461341325</v>
      </c>
      <c r="AS504" t="str">
        <f t="shared" si="420"/>
        <v>-0,0000166666666666667</v>
      </c>
      <c r="AT504" t="str">
        <f t="shared" si="421"/>
        <v>0,00697785632805467i</v>
      </c>
      <c r="AU504">
        <f t="shared" si="444"/>
        <v>6.9778563280546704E-3</v>
      </c>
      <c r="AV504">
        <f t="shared" si="445"/>
        <v>1.5707963267948966</v>
      </c>
      <c r="AW504" t="str">
        <f t="shared" si="422"/>
        <v>1+32,3344585726393i</v>
      </c>
      <c r="AX504">
        <f t="shared" si="446"/>
        <v>32.349918256244898</v>
      </c>
      <c r="AY504">
        <f t="shared" si="447"/>
        <v>1.539879422492171</v>
      </c>
      <c r="AZ504" t="str">
        <f t="shared" si="423"/>
        <v>1+1502,08257551079i</v>
      </c>
      <c r="BA504">
        <f t="shared" si="448"/>
        <v>1502.0829083819337</v>
      </c>
      <c r="BB504">
        <f t="shared" si="449"/>
        <v>1.5701305845324098</v>
      </c>
      <c r="BC504" s="41" t="str">
        <f t="shared" si="450"/>
        <v>-0,00335446499044321+0,110853317410775i</v>
      </c>
      <c r="BD504">
        <f t="shared" si="451"/>
        <v>-19.101051134438055</v>
      </c>
      <c r="BE504" s="43">
        <f t="shared" si="452"/>
        <v>91.733263910272058</v>
      </c>
      <c r="BF504" s="41" t="str">
        <f t="shared" si="453"/>
        <v>-0,0462867821426131-0,128793298782561i</v>
      </c>
      <c r="BG504" s="20">
        <f t="shared" si="454"/>
        <v>-17.274580486780774</v>
      </c>
      <c r="BH504" s="43">
        <f t="shared" si="455"/>
        <v>-109.76783466011274</v>
      </c>
      <c r="BI504" s="41" t="str">
        <f t="shared" si="460"/>
        <v>0,370691311325456+0,0708196973324714i</v>
      </c>
      <c r="BJ504" s="20">
        <f t="shared" si="456"/>
        <v>-8.464062163490345</v>
      </c>
      <c r="BK504" s="43">
        <f t="shared" si="461"/>
        <v>10.81588944893074</v>
      </c>
      <c r="BL504">
        <f t="shared" si="457"/>
        <v>-17.274580486780774</v>
      </c>
      <c r="BM504" s="43">
        <f t="shared" si="458"/>
        <v>-109.76783466011274</v>
      </c>
    </row>
    <row r="505" spans="14:65" x14ac:dyDescent="0.25">
      <c r="N505" s="9">
        <v>87</v>
      </c>
      <c r="O505" s="34">
        <f t="shared" si="459"/>
        <v>741310.24130091805</v>
      </c>
      <c r="P505" s="33" t="str">
        <f t="shared" si="411"/>
        <v>54,631621870174</v>
      </c>
      <c r="Q505" s="4" t="str">
        <f t="shared" si="412"/>
        <v>1+20791,9078032418i</v>
      </c>
      <c r="R505" s="4">
        <f t="shared" si="424"/>
        <v>20791.907827289619</v>
      </c>
      <c r="S505" s="4">
        <f t="shared" si="425"/>
        <v>1.5707482311603502</v>
      </c>
      <c r="T505" s="4" t="str">
        <f t="shared" si="413"/>
        <v>1+70,4257789969997i</v>
      </c>
      <c r="U505" s="4">
        <f t="shared" si="426"/>
        <v>70.432878312150805</v>
      </c>
      <c r="V505" s="4">
        <f t="shared" si="427"/>
        <v>1.5565979350237551</v>
      </c>
      <c r="W505" t="str">
        <f t="shared" si="414"/>
        <v>1-18,5349231421659i</v>
      </c>
      <c r="X505" s="4">
        <f t="shared" si="428"/>
        <v>18.561879643128737</v>
      </c>
      <c r="Y505" s="4">
        <f t="shared" si="429"/>
        <v>-1.5168963778592233</v>
      </c>
      <c r="Z505" t="str">
        <f t="shared" si="415"/>
        <v>-1,1981634954305+2,54654852848519i</v>
      </c>
      <c r="AA505" s="4">
        <f t="shared" si="430"/>
        <v>2.8143392065833712</v>
      </c>
      <c r="AB505" s="4">
        <f t="shared" si="431"/>
        <v>2.0105706600766471</v>
      </c>
      <c r="AC505" s="47" t="str">
        <f t="shared" si="432"/>
        <v>-1,1242284190728+0,47534885853881i</v>
      </c>
      <c r="AD505" s="20">
        <f t="shared" si="433"/>
        <v>1.731414013076777</v>
      </c>
      <c r="AE505" s="43">
        <f t="shared" si="434"/>
        <v>157.08027410727371</v>
      </c>
      <c r="AF505" t="str">
        <f t="shared" si="416"/>
        <v>171,265703090588</v>
      </c>
      <c r="AG505" t="str">
        <f t="shared" si="417"/>
        <v>1+20592,9288830283i</v>
      </c>
      <c r="AH505">
        <f t="shared" si="435"/>
        <v>20592.92890730848</v>
      </c>
      <c r="AI505">
        <f t="shared" si="436"/>
        <v>1.5707477664368779</v>
      </c>
      <c r="AJ505" t="str">
        <f t="shared" si="418"/>
        <v>1+70,4257789969997i</v>
      </c>
      <c r="AK505">
        <f t="shared" si="437"/>
        <v>70.432878312150805</v>
      </c>
      <c r="AL505">
        <f t="shared" si="438"/>
        <v>1.5565979350237551</v>
      </c>
      <c r="AM505" t="str">
        <f t="shared" si="419"/>
        <v>1-5,85582251445095i</v>
      </c>
      <c r="AN505">
        <f t="shared" si="439"/>
        <v>5.9405940208661496</v>
      </c>
      <c r="AO505">
        <f t="shared" si="440"/>
        <v>-1.4016576956107845</v>
      </c>
      <c r="AP505" s="41" t="str">
        <f t="shared" si="441"/>
        <v>0,537177454119241-3,43811473132024i</v>
      </c>
      <c r="AQ505">
        <f t="shared" si="442"/>
        <v>10.831151840575441</v>
      </c>
      <c r="AR505" s="43">
        <f t="shared" si="443"/>
        <v>-81.119795901324125</v>
      </c>
      <c r="AS505" t="str">
        <f t="shared" si="420"/>
        <v>-0,0000166666666666667</v>
      </c>
      <c r="AT505" t="str">
        <f t="shared" si="421"/>
        <v>0,00714039148164024i</v>
      </c>
      <c r="AU505">
        <f t="shared" si="444"/>
        <v>7.1403914816402401E-3</v>
      </c>
      <c r="AV505">
        <f t="shared" si="445"/>
        <v>1.5707963267948966</v>
      </c>
      <c r="AW505" t="str">
        <f t="shared" si="422"/>
        <v>1+33,0876248665741i</v>
      </c>
      <c r="AX505">
        <f t="shared" si="446"/>
        <v>33.102732807294522</v>
      </c>
      <c r="AY505">
        <f t="shared" si="447"/>
        <v>1.5405827439629753</v>
      </c>
      <c r="AZ505" t="str">
        <f t="shared" si="423"/>
        <v>1+1537,07057334721i</v>
      </c>
      <c r="BA505">
        <f t="shared" si="448"/>
        <v>1537.0708986412831</v>
      </c>
      <c r="BB505">
        <f t="shared" si="449"/>
        <v>1.5701457386721054</v>
      </c>
      <c r="BC505" s="41" t="str">
        <f t="shared" si="450"/>
        <v>-0,00320362697386256+0,108334546584397i</v>
      </c>
      <c r="BD505">
        <f t="shared" si="451"/>
        <v>-19.300864440655833</v>
      </c>
      <c r="BE505" s="43">
        <f t="shared" si="452"/>
        <v>91.693834826600749</v>
      </c>
      <c r="BF505" s="41" t="str">
        <f t="shared" si="453"/>
        <v>-0,0478950945710882-0,123315616462755i</v>
      </c>
      <c r="BG505" s="20">
        <f t="shared" si="454"/>
        <v>-17.569450427579049</v>
      </c>
      <c r="BH505" s="43">
        <f t="shared" si="455"/>
        <v>-111.22589106612554</v>
      </c>
      <c r="BI505" s="41" t="str">
        <f t="shared" si="460"/>
        <v>0,370745684340947+0,0692093130198605i</v>
      </c>
      <c r="BJ505" s="20">
        <f t="shared" si="456"/>
        <v>-8.4697126000803866</v>
      </c>
      <c r="BK505" s="43">
        <f t="shared" si="461"/>
        <v>10.574038925276625</v>
      </c>
      <c r="BL505">
        <f t="shared" si="457"/>
        <v>-17.569450427579049</v>
      </c>
      <c r="BM505" s="43">
        <f t="shared" si="458"/>
        <v>-111.22589106612554</v>
      </c>
    </row>
    <row r="506" spans="14:65" x14ac:dyDescent="0.25">
      <c r="N506" s="9">
        <v>88</v>
      </c>
      <c r="O506" s="34">
        <f t="shared" si="459"/>
        <v>758577.57502918423</v>
      </c>
      <c r="P506" s="33" t="str">
        <f t="shared" si="411"/>
        <v>54,631621870174</v>
      </c>
      <c r="Q506" s="4" t="str">
        <f t="shared" si="412"/>
        <v>1+21276,2135512049i</v>
      </c>
      <c r="R506" s="4">
        <f t="shared" si="424"/>
        <v>21276.213574705318</v>
      </c>
      <c r="S506" s="4">
        <f t="shared" si="425"/>
        <v>1.5707493259506506</v>
      </c>
      <c r="T506" s="4" t="str">
        <f t="shared" si="413"/>
        <v>1+72,0662061235429i</v>
      </c>
      <c r="U506" s="4">
        <f t="shared" si="426"/>
        <v>72.073143854288546</v>
      </c>
      <c r="V506" s="4">
        <f t="shared" si="427"/>
        <v>1.5569210879155599</v>
      </c>
      <c r="W506" t="str">
        <f t="shared" si="414"/>
        <v>1-18,9666569638407i</v>
      </c>
      <c r="X506" s="4">
        <f t="shared" si="428"/>
        <v>18.993000720897342</v>
      </c>
      <c r="Y506" s="4">
        <f t="shared" si="429"/>
        <v>-1.518120995873721</v>
      </c>
      <c r="Z506" t="str">
        <f t="shared" si="415"/>
        <v>-1,30175974934864+2,60586526370176i</v>
      </c>
      <c r="AA506" s="4">
        <f t="shared" si="430"/>
        <v>2.9129215948239455</v>
      </c>
      <c r="AB506" s="4">
        <f t="shared" si="431"/>
        <v>2.0340837963307772</v>
      </c>
      <c r="AC506" s="47" t="str">
        <f t="shared" si="432"/>
        <v>-1,09960008470162+0,496919253012157i</v>
      </c>
      <c r="AD506" s="20">
        <f t="shared" si="433"/>
        <v>1.6317601734147724</v>
      </c>
      <c r="AE506" s="43">
        <f t="shared" si="434"/>
        <v>155.68135776302364</v>
      </c>
      <c r="AF506" t="str">
        <f t="shared" si="416"/>
        <v>171,265703090588</v>
      </c>
      <c r="AG506" t="str">
        <f t="shared" si="417"/>
        <v>1+21072,5998165388i</v>
      </c>
      <c r="AH506">
        <f t="shared" si="435"/>
        <v>21072.599840266295</v>
      </c>
      <c r="AI506">
        <f t="shared" si="436"/>
        <v>1.5707488718055762</v>
      </c>
      <c r="AJ506" t="str">
        <f t="shared" si="418"/>
        <v>1+72,0662061235429i</v>
      </c>
      <c r="AK506">
        <f t="shared" si="437"/>
        <v>72.073143854288546</v>
      </c>
      <c r="AL506">
        <f t="shared" si="438"/>
        <v>1.5569210879155599</v>
      </c>
      <c r="AM506" t="str">
        <f t="shared" si="419"/>
        <v>1-5,99222214307753i</v>
      </c>
      <c r="AN506">
        <f t="shared" si="439"/>
        <v>6.075090634055484</v>
      </c>
      <c r="AO506">
        <f t="shared" si="440"/>
        <v>-1.4054371715639005</v>
      </c>
      <c r="AP506" s="41" t="str">
        <f t="shared" si="441"/>
        <v>0,537177435999416-3,51781687947478i</v>
      </c>
      <c r="AQ506">
        <f t="shared" si="442"/>
        <v>11.025570194101512</v>
      </c>
      <c r="AR506" s="43">
        <f t="shared" si="443"/>
        <v>-81.317891958332254</v>
      </c>
      <c r="AS506" t="str">
        <f t="shared" si="420"/>
        <v>-0,0000166666666666667</v>
      </c>
      <c r="AT506" t="str">
        <f t="shared" si="421"/>
        <v>0,00730671256530365i</v>
      </c>
      <c r="AU506">
        <f t="shared" si="444"/>
        <v>7.3067125653036502E-3</v>
      </c>
      <c r="AV506">
        <f t="shared" si="445"/>
        <v>1.5707963267948966</v>
      </c>
      <c r="AW506" t="str">
        <f t="shared" si="422"/>
        <v>1+33,8583346571797i</v>
      </c>
      <c r="AX506">
        <f t="shared" si="446"/>
        <v>33.873098850822252</v>
      </c>
      <c r="AY506">
        <f t="shared" si="447"/>
        <v>1.5412700847757532</v>
      </c>
      <c r="AZ506" t="str">
        <f t="shared" si="423"/>
        <v>1+1572,87354634717i</v>
      </c>
      <c r="BA506">
        <f t="shared" si="448"/>
        <v>1572.8738642366475</v>
      </c>
      <c r="BB506">
        <f t="shared" si="449"/>
        <v>1.570160547861756</v>
      </c>
      <c r="BC506" s="41" t="str">
        <f t="shared" si="450"/>
        <v>-0,00305956567393996+0,105872806062974i</v>
      </c>
      <c r="BD506">
        <f t="shared" si="451"/>
        <v>-19.500686141978811</v>
      </c>
      <c r="BE506" s="43">
        <f t="shared" si="452"/>
        <v>91.655301603006464</v>
      </c>
      <c r="BF506" s="41" t="str">
        <f t="shared" si="453"/>
        <v>-0,0492459370288995-0,11793810360368i</v>
      </c>
      <c r="BG506" s="20">
        <f t="shared" si="454"/>
        <v>-17.868925968564049</v>
      </c>
      <c r="BH506" s="43">
        <f t="shared" si="455"/>
        <v>-112.66334063396992</v>
      </c>
      <c r="BI506" s="41" t="str">
        <f t="shared" si="460"/>
        <v>0,370797614601691+0,0676354742746194i</v>
      </c>
      <c r="BJ506" s="20">
        <f t="shared" si="456"/>
        <v>-8.4751159478772937</v>
      </c>
      <c r="BK506" s="43">
        <f t="shared" si="461"/>
        <v>10.337409644674212</v>
      </c>
      <c r="BL506">
        <f t="shared" si="457"/>
        <v>-17.868925968564049</v>
      </c>
      <c r="BM506" s="43">
        <f t="shared" si="458"/>
        <v>-112.66334063396992</v>
      </c>
    </row>
    <row r="507" spans="14:65" x14ac:dyDescent="0.25">
      <c r="N507" s="9">
        <v>89</v>
      </c>
      <c r="O507" s="34">
        <f t="shared" si="459"/>
        <v>776247.11662869214</v>
      </c>
      <c r="P507" s="33" t="str">
        <f t="shared" si="411"/>
        <v>54,631621870174</v>
      </c>
      <c r="Q507" s="4" t="str">
        <f t="shared" si="412"/>
        <v>1+21771,8002292168i</v>
      </c>
      <c r="R507" s="4">
        <f t="shared" si="424"/>
        <v>21771.800252182285</v>
      </c>
      <c r="S507" s="4">
        <f t="shared" si="425"/>
        <v>1.5707503958204816</v>
      </c>
      <c r="T507" s="4" t="str">
        <f t="shared" si="413"/>
        <v>1+73,7448437064819i</v>
      </c>
      <c r="U507" s="4">
        <f t="shared" si="426"/>
        <v>73.751623529881982</v>
      </c>
      <c r="V507" s="4">
        <f t="shared" si="427"/>
        <v>1.5572368877499152</v>
      </c>
      <c r="W507" t="str">
        <f t="shared" si="414"/>
        <v>1-19,4084471580912i</v>
      </c>
      <c r="X507" s="4">
        <f t="shared" si="428"/>
        <v>19.434192061632466</v>
      </c>
      <c r="Y507" s="4">
        <f t="shared" si="429"/>
        <v>-1.5193178910062823</v>
      </c>
      <c r="Z507" t="str">
        <f t="shared" si="415"/>
        <v>-1,41023834429744+2,66656366317385i</v>
      </c>
      <c r="AA507" s="4">
        <f t="shared" si="430"/>
        <v>3.0165102283078586</v>
      </c>
      <c r="AB507" s="4">
        <f t="shared" si="431"/>
        <v>2.0572643364994478</v>
      </c>
      <c r="AC507" s="47" t="str">
        <f t="shared" si="432"/>
        <v>-1,07437196333932+0,516998732428764i</v>
      </c>
      <c r="AD507" s="20">
        <f t="shared" si="433"/>
        <v>1.5276605167151469</v>
      </c>
      <c r="AE507" s="43">
        <f t="shared" si="434"/>
        <v>154.30266630356351</v>
      </c>
      <c r="AF507" t="str">
        <f t="shared" si="416"/>
        <v>171,265703090588</v>
      </c>
      <c r="AG507" t="str">
        <f t="shared" si="417"/>
        <v>1+21563,4437214008i</v>
      </c>
      <c r="AH507">
        <f t="shared" si="435"/>
        <v>21563.443744588189</v>
      </c>
      <c r="AI507">
        <f t="shared" si="436"/>
        <v>1.570749952013011</v>
      </c>
      <c r="AJ507" t="str">
        <f t="shared" si="418"/>
        <v>1+73,7448437064819i</v>
      </c>
      <c r="AK507">
        <f t="shared" si="437"/>
        <v>73.751623529881982</v>
      </c>
      <c r="AL507">
        <f t="shared" si="438"/>
        <v>1.5572368877499152</v>
      </c>
      <c r="AM507" t="str">
        <f t="shared" si="419"/>
        <v>1-6,1317989272008i</v>
      </c>
      <c r="AN507">
        <f t="shared" si="439"/>
        <v>6.2128059750503146</v>
      </c>
      <c r="AO507">
        <f t="shared" si="440"/>
        <v>-1.4091352287721639</v>
      </c>
      <c r="AP507" s="41" t="str">
        <f t="shared" si="441"/>
        <v>0,537177418695126-3,59938422070256i</v>
      </c>
      <c r="AQ507">
        <f t="shared" si="442"/>
        <v>11.220233152177723</v>
      </c>
      <c r="AR507" s="43">
        <f t="shared" si="443"/>
        <v>-81.511742922411159</v>
      </c>
      <c r="AS507" t="str">
        <f t="shared" si="420"/>
        <v>-0,0000166666666666667</v>
      </c>
      <c r="AT507" t="str">
        <f t="shared" si="421"/>
        <v>0,00747690776468496i</v>
      </c>
      <c r="AU507">
        <f t="shared" si="444"/>
        <v>7.47690776468496E-3</v>
      </c>
      <c r="AV507">
        <f t="shared" si="445"/>
        <v>1.5707963267948966</v>
      </c>
      <c r="AW507" t="str">
        <f t="shared" si="422"/>
        <v>1+34,6469965849886i</v>
      </c>
      <c r="AX507">
        <f t="shared" si="446"/>
        <v>34.661424846076528</v>
      </c>
      <c r="AY507">
        <f t="shared" si="447"/>
        <v>1.5419418067684112</v>
      </c>
      <c r="AZ507" t="str">
        <f t="shared" si="423"/>
        <v>1+1609,51047772083i</v>
      </c>
      <c r="BA507">
        <f t="shared" si="448"/>
        <v>1609.5107883742608</v>
      </c>
      <c r="BB507">
        <f t="shared" si="449"/>
        <v>1.5701750199533642</v>
      </c>
      <c r="BC507" s="41" t="str">
        <f t="shared" si="450"/>
        <v>-0,00292197715258082+0,103466817924685i</v>
      </c>
      <c r="BD507">
        <f t="shared" si="451"/>
        <v>-19.700515861224368</v>
      </c>
      <c r="BE507" s="43">
        <f t="shared" si="452"/>
        <v>91.617643957590914</v>
      </c>
      <c r="BF507" s="41" t="str">
        <f t="shared" si="453"/>
        <v>-0,050352923385249-0,112672506798286i</v>
      </c>
      <c r="BG507" s="20">
        <f t="shared" si="454"/>
        <v>-18.172855344509212</v>
      </c>
      <c r="BH507" s="43">
        <f t="shared" si="455"/>
        <v>-114.07968973884556</v>
      </c>
      <c r="BI507" s="41" t="str">
        <f t="shared" si="460"/>
        <v>0,370847211660106+0,0660973566296337i</v>
      </c>
      <c r="BJ507" s="20">
        <f t="shared" si="456"/>
        <v>-8.4802827090466568</v>
      </c>
      <c r="BK507" s="43">
        <f t="shared" si="461"/>
        <v>10.105901035179778</v>
      </c>
      <c r="BL507">
        <f t="shared" si="457"/>
        <v>-18.172855344509212</v>
      </c>
      <c r="BM507" s="43">
        <f t="shared" si="458"/>
        <v>-114.07968973884556</v>
      </c>
    </row>
    <row r="508" spans="14:65" x14ac:dyDescent="0.25">
      <c r="N508" s="9">
        <v>90</v>
      </c>
      <c r="O508" s="34">
        <f t="shared" si="459"/>
        <v>794328.23472428333</v>
      </c>
      <c r="P508" s="33" t="str">
        <f t="shared" si="411"/>
        <v>54,631621870174</v>
      </c>
      <c r="Q508" s="4" t="str">
        <f t="shared" si="412"/>
        <v>1+22278,9306038941i</v>
      </c>
      <c r="R508" s="4">
        <f t="shared" si="424"/>
        <v>22278.930626336831</v>
      </c>
      <c r="S508" s="4">
        <f t="shared" si="425"/>
        <v>1.570751441337102</v>
      </c>
      <c r="T508" s="4" t="str">
        <f t="shared" si="413"/>
        <v>1+75,4625817816825i</v>
      </c>
      <c r="U508" s="4">
        <f t="shared" si="426"/>
        <v>75.469207291166896</v>
      </c>
      <c r="V508" s="4">
        <f t="shared" si="427"/>
        <v>1.5575455017159718</v>
      </c>
      <c r="W508" t="str">
        <f t="shared" si="414"/>
        <v>1-19,860527967926i</v>
      </c>
      <c r="X508" s="4">
        <f t="shared" si="428"/>
        <v>19.885687595976428</v>
      </c>
      <c r="Y508" s="4">
        <f t="shared" si="429"/>
        <v>-1.5204876841417938</v>
      </c>
      <c r="Z508" t="str">
        <f t="shared" si="415"/>
        <v>-1,52382937792079+2,72867590999631i</v>
      </c>
      <c r="AA508" s="4">
        <f t="shared" si="430"/>
        <v>3.1253364930529726</v>
      </c>
      <c r="AB508" s="4">
        <f t="shared" si="431"/>
        <v>2.0801039938618611</v>
      </c>
      <c r="AC508" s="47" t="str">
        <f t="shared" si="432"/>
        <v>-1,0486491856691+0,535590148737682i</v>
      </c>
      <c r="AD508" s="20">
        <f t="shared" si="433"/>
        <v>1.4192674051402503</v>
      </c>
      <c r="AE508" s="43">
        <f t="shared" si="434"/>
        <v>152.94464849566819</v>
      </c>
      <c r="AF508" t="str">
        <f t="shared" si="416"/>
        <v>171,265703090588</v>
      </c>
      <c r="AG508" t="str">
        <f t="shared" si="417"/>
        <v>1+22065,72084955i</v>
      </c>
      <c r="AH508">
        <f t="shared" si="435"/>
        <v>22065.720872209582</v>
      </c>
      <c r="AI508">
        <f t="shared" si="436"/>
        <v>1.5707510076319229</v>
      </c>
      <c r="AJ508" t="str">
        <f t="shared" si="418"/>
        <v>1+75,4625817816825i</v>
      </c>
      <c r="AK508">
        <f t="shared" si="437"/>
        <v>75.469207291166896</v>
      </c>
      <c r="AL508">
        <f t="shared" si="438"/>
        <v>1.5575455017159718</v>
      </c>
      <c r="AM508" t="str">
        <f t="shared" si="419"/>
        <v>1-6,27462687227924i</v>
      </c>
      <c r="AN508">
        <f t="shared" si="439"/>
        <v>6.3538132161977154</v>
      </c>
      <c r="AO508">
        <f t="shared" si="440"/>
        <v>-1.412753423203698</v>
      </c>
      <c r="AP508" s="41" t="str">
        <f t="shared" si="441"/>
        <v>0,537177402169647-3,68286000308754i</v>
      </c>
      <c r="AQ508">
        <f t="shared" si="442"/>
        <v>11.415130272734196</v>
      </c>
      <c r="AR508" s="43">
        <f t="shared" si="443"/>
        <v>-81.701428397550416</v>
      </c>
      <c r="AS508" t="str">
        <f t="shared" si="420"/>
        <v>-0,0000166666666666667</v>
      </c>
      <c r="AT508" t="str">
        <f t="shared" si="421"/>
        <v>0,00765106731953169i</v>
      </c>
      <c r="AU508">
        <f t="shared" si="444"/>
        <v>7.6510673195316903E-3</v>
      </c>
      <c r="AV508">
        <f t="shared" si="445"/>
        <v>1.5707963267948966</v>
      </c>
      <c r="AW508" t="str">
        <f t="shared" si="422"/>
        <v>1+35,4540288089941i</v>
      </c>
      <c r="AX508">
        <f t="shared" si="446"/>
        <v>35.468128774844942</v>
      </c>
      <c r="AY508">
        <f t="shared" si="447"/>
        <v>1.54259826367075</v>
      </c>
      <c r="AZ508" t="str">
        <f t="shared" si="423"/>
        <v>1+1647,00079285418i</v>
      </c>
      <c r="BA508">
        <f t="shared" si="448"/>
        <v>1647.0010964362764</v>
      </c>
      <c r="BB508">
        <f t="shared" si="449"/>
        <v>1.5701891626202005</v>
      </c>
      <c r="BC508" s="41" t="str">
        <f t="shared" si="450"/>
        <v>-0,00279057105767849+0,101115331989624i</v>
      </c>
      <c r="BD508">
        <f t="shared" si="451"/>
        <v>-19.900353238127707</v>
      </c>
      <c r="BE508" s="43">
        <f t="shared" si="452"/>
        <v>91.580842062775446</v>
      </c>
      <c r="BF508" s="41" t="str">
        <f t="shared" si="453"/>
        <v>-0,0512300456327965-0,107529112917425i</v>
      </c>
      <c r="BG508" s="20">
        <f t="shared" si="454"/>
        <v>-18.481085832987453</v>
      </c>
      <c r="BH508" s="43">
        <f t="shared" si="455"/>
        <v>-115.47450944155634</v>
      </c>
      <c r="BI508" s="41" t="str">
        <f t="shared" si="460"/>
        <v>0,370894580172171+0,0645941538918054i</v>
      </c>
      <c r="BJ508" s="20">
        <f t="shared" si="456"/>
        <v>-8.4852229653935041</v>
      </c>
      <c r="BK508" s="43">
        <f t="shared" si="461"/>
        <v>9.8794136652250195</v>
      </c>
      <c r="BL508">
        <f t="shared" si="457"/>
        <v>-18.481085832987453</v>
      </c>
      <c r="BM508" s="43">
        <f t="shared" si="458"/>
        <v>-115.47450944155634</v>
      </c>
    </row>
    <row r="509" spans="14:65" x14ac:dyDescent="0.25">
      <c r="N509" s="9">
        <v>91</v>
      </c>
      <c r="O509" s="34">
        <f t="shared" si="459"/>
        <v>812830.51616410096</v>
      </c>
      <c r="P509" s="33" t="str">
        <f t="shared" si="411"/>
        <v>54,631621870174</v>
      </c>
      <c r="Q509" s="4" t="str">
        <f t="shared" si="412"/>
        <v>1+22797,873562474i</v>
      </c>
      <c r="R509" s="4">
        <f t="shared" si="424"/>
        <v>22797.873584405868</v>
      </c>
      <c r="S509" s="4">
        <f t="shared" si="425"/>
        <v>1.5707524630548588</v>
      </c>
      <c r="T509" s="4" t="str">
        <f t="shared" si="413"/>
        <v>1+77,220331116609i</v>
      </c>
      <c r="U509" s="4">
        <f t="shared" si="426"/>
        <v>77.226805823876546</v>
      </c>
      <c r="V509" s="4">
        <f t="shared" si="427"/>
        <v>1.5578470932096593</v>
      </c>
      <c r="W509" t="str">
        <f t="shared" si="414"/>
        <v>1-20,3231390925746i</v>
      </c>
      <c r="X509" s="4">
        <f t="shared" si="428"/>
        <v>20.347726717649174</v>
      </c>
      <c r="Y509" s="4">
        <f t="shared" si="429"/>
        <v>-1.5216309827066816</v>
      </c>
      <c r="Z509" t="str">
        <f t="shared" si="415"/>
        <v>-1,6427737920304+2,79223493690453i</v>
      </c>
      <c r="AA509" s="4">
        <f t="shared" si="430"/>
        <v>3.2396422139878633</v>
      </c>
      <c r="AB509" s="4">
        <f t="shared" si="431"/>
        <v>2.10259559618886</v>
      </c>
      <c r="AC509" s="47" t="str">
        <f t="shared" si="432"/>
        <v>-1,02253312338563+0,552704251838416i</v>
      </c>
      <c r="AD509" s="20">
        <f t="shared" si="433"/>
        <v>1.3067334355623637</v>
      </c>
      <c r="AE509" s="43">
        <f t="shared" si="434"/>
        <v>151.60768980496303</v>
      </c>
      <c r="AF509" t="str">
        <f t="shared" si="416"/>
        <v>171,265703090588</v>
      </c>
      <c r="AG509" t="str">
        <f t="shared" si="417"/>
        <v>1+22579,6975149678i</v>
      </c>
      <c r="AH509">
        <f t="shared" si="435"/>
        <v>22579.697537111584</v>
      </c>
      <c r="AI509">
        <f t="shared" si="436"/>
        <v>1.5707520392220147</v>
      </c>
      <c r="AJ509" t="str">
        <f t="shared" si="418"/>
        <v>1+77,220331116609i</v>
      </c>
      <c r="AK509">
        <f t="shared" si="437"/>
        <v>77.226805823876546</v>
      </c>
      <c r="AL509">
        <f t="shared" si="438"/>
        <v>1.5578470932096593</v>
      </c>
      <c r="AM509" t="str">
        <f t="shared" si="419"/>
        <v>1-6,42078170757985i</v>
      </c>
      <c r="AN509">
        <f t="shared" si="439"/>
        <v>6.4981872654142565</v>
      </c>
      <c r="AO509">
        <f t="shared" si="440"/>
        <v>-1.4162932941443624</v>
      </c>
      <c r="AP509" s="41" t="str">
        <f t="shared" si="441"/>
        <v>0,537177386387946-3,76828848659452i</v>
      </c>
      <c r="AQ509">
        <f t="shared" si="442"/>
        <v>11.610251535642533</v>
      </c>
      <c r="AR509" s="43">
        <f t="shared" si="443"/>
        <v>-81.887027248504566</v>
      </c>
      <c r="AS509" t="str">
        <f t="shared" si="420"/>
        <v>-0,0000166666666666667</v>
      </c>
      <c r="AT509" t="str">
        <f t="shared" si="421"/>
        <v>0,00782928357154507i</v>
      </c>
      <c r="AU509">
        <f t="shared" si="444"/>
        <v>7.8292835715450693E-3</v>
      </c>
      <c r="AV509">
        <f t="shared" si="445"/>
        <v>1.5707963267948966</v>
      </c>
      <c r="AW509" t="str">
        <f t="shared" si="422"/>
        <v>1+36,2798592283636i</v>
      </c>
      <c r="AX509">
        <f t="shared" si="446"/>
        <v>36.293638363077889</v>
      </c>
      <c r="AY509">
        <f t="shared" si="447"/>
        <v>1.5432398012804873</v>
      </c>
      <c r="AZ509" t="str">
        <f t="shared" si="423"/>
        <v>1+1685,36436960853i</v>
      </c>
      <c r="BA509">
        <f t="shared" si="448"/>
        <v>1685.3646662802557</v>
      </c>
      <c r="BB509">
        <f t="shared" si="449"/>
        <v>1.5702029833608711</v>
      </c>
      <c r="BC509" s="41" t="str">
        <f t="shared" si="450"/>
        <v>-0,00266507001984636+0,0988171252777671i</v>
      </c>
      <c r="BD509">
        <f t="shared" si="451"/>
        <v>-20.10019792858612</v>
      </c>
      <c r="BE509" s="43">
        <f t="shared" si="452"/>
        <v>91.544876535448765</v>
      </c>
      <c r="BF509" s="41" t="str">
        <f t="shared" si="453"/>
        <v>-0,0518915229240364-0,10251677928568i</v>
      </c>
      <c r="BG509" s="20">
        <f t="shared" si="454"/>
        <v>-18.793464493023787</v>
      </c>
      <c r="BH509" s="43">
        <f t="shared" si="455"/>
        <v>-116.84743365958833</v>
      </c>
      <c r="BI509" s="41" t="str">
        <f t="shared" si="460"/>
        <v>0,370939820114776+0,0631250777588364i</v>
      </c>
      <c r="BJ509" s="20">
        <f t="shared" si="456"/>
        <v>-8.4899463929435903</v>
      </c>
      <c r="BK509" s="43">
        <f t="shared" si="461"/>
        <v>9.657849286944197</v>
      </c>
      <c r="BL509">
        <f t="shared" si="457"/>
        <v>-18.793464493023787</v>
      </c>
      <c r="BM509" s="43">
        <f t="shared" si="458"/>
        <v>-116.84743365958833</v>
      </c>
    </row>
    <row r="510" spans="14:65" x14ac:dyDescent="0.25">
      <c r="N510" s="9">
        <v>92</v>
      </c>
      <c r="O510" s="34">
        <f t="shared" si="459"/>
        <v>831763.77110267128</v>
      </c>
      <c r="P510" s="33" t="str">
        <f t="shared" si="411"/>
        <v>54,631621870174</v>
      </c>
      <c r="Q510" s="4" t="str">
        <f t="shared" si="412"/>
        <v>1+23328,9042553823i</v>
      </c>
      <c r="R510" s="4">
        <f t="shared" si="424"/>
        <v>23328.904276814937</v>
      </c>
      <c r="S510" s="4">
        <f t="shared" si="425"/>
        <v>1.5707534615154801</v>
      </c>
      <c r="T510" s="4" t="str">
        <f t="shared" si="413"/>
        <v>1+79,0190236932253i</v>
      </c>
      <c r="U510" s="4">
        <f t="shared" si="426"/>
        <v>79.025351030099841</v>
      </c>
      <c r="V510" s="4">
        <f t="shared" si="427"/>
        <v>1.5581418219191974</v>
      </c>
      <c r="W510" t="str">
        <f t="shared" si="414"/>
        <v>1-20,7965258145786i</v>
      </c>
      <c r="X510" s="4">
        <f t="shared" si="428"/>
        <v>20.820554410400177</v>
      </c>
      <c r="Y510" s="4">
        <f t="shared" si="429"/>
        <v>-1.5227483809306541</v>
      </c>
      <c r="Z510" t="str">
        <f t="shared" si="415"/>
        <v>-1,76732388367576+2,85727444373589i</v>
      </c>
      <c r="AA510" s="4">
        <f t="shared" si="430"/>
        <v>3.3596801866601846</v>
      </c>
      <c r="AB510" s="4">
        <f t="shared" si="431"/>
        <v>2.1247330473730566</v>
      </c>
      <c r="AC510" s="47" t="str">
        <f t="shared" si="432"/>
        <v>-0,996120829902781+0,56835899931538i</v>
      </c>
      <c r="AD510" s="20">
        <f t="shared" si="433"/>
        <v>1.1902107573893304</v>
      </c>
      <c r="AE510" s="43">
        <f t="shared" si="434"/>
        <v>150.29211458424092</v>
      </c>
      <c r="AF510" t="str">
        <f t="shared" si="416"/>
        <v>171,265703090588</v>
      </c>
      <c r="AG510" t="str">
        <f t="shared" si="417"/>
        <v>1+23105,6462348856i</v>
      </c>
      <c r="AH510">
        <f t="shared" si="435"/>
        <v>23105.646256525331</v>
      </c>
      <c r="AI510">
        <f t="shared" si="436"/>
        <v>1.5707530473302493</v>
      </c>
      <c r="AJ510" t="str">
        <f t="shared" si="418"/>
        <v>1+79,0190236932253i</v>
      </c>
      <c r="AK510">
        <f t="shared" si="437"/>
        <v>79.025351030099841</v>
      </c>
      <c r="AL510">
        <f t="shared" si="438"/>
        <v>1.5581418219191974</v>
      </c>
      <c r="AM510" t="str">
        <f t="shared" si="419"/>
        <v>1-6,5703409263309i</v>
      </c>
      <c r="AN510">
        <f t="shared" si="439"/>
        <v>6.6460048065148722</v>
      </c>
      <c r="AO510">
        <f t="shared" si="440"/>
        <v>-1.4197563634428745</v>
      </c>
      <c r="AP510" s="41" t="str">
        <f t="shared" si="441"/>
        <v>0,537177371316535-3,85571496653622i</v>
      </c>
      <c r="AQ510">
        <f t="shared" si="442"/>
        <v>11.805587327719111</v>
      </c>
      <c r="AR510" s="43">
        <f t="shared" si="443"/>
        <v>-82.06861755265993</v>
      </c>
      <c r="AS510" t="str">
        <f t="shared" si="420"/>
        <v>-0,0000166666666666667</v>
      </c>
      <c r="AT510" t="str">
        <f t="shared" si="421"/>
        <v>0,00801165101334089i</v>
      </c>
      <c r="AU510">
        <f t="shared" si="444"/>
        <v>8.0116510133408907E-3</v>
      </c>
      <c r="AV510">
        <f t="shared" si="445"/>
        <v>1.5707963267948966</v>
      </c>
      <c r="AW510" t="str">
        <f t="shared" si="422"/>
        <v>1+37,1249257093167i</v>
      </c>
      <c r="AX510">
        <f t="shared" si="446"/>
        <v>37.138391307678958</v>
      </c>
      <c r="AY510">
        <f t="shared" si="447"/>
        <v>1.5438667576358429</v>
      </c>
      <c r="AZ510" t="str">
        <f t="shared" si="423"/>
        <v>1+1724,62154886007i</v>
      </c>
      <c r="BA510">
        <f t="shared" si="448"/>
        <v>1724.6218387787239</v>
      </c>
      <c r="BB510">
        <f t="shared" si="449"/>
        <v>1.5702164895032946</v>
      </c>
      <c r="BC510" s="41" t="str">
        <f t="shared" si="450"/>
        <v>-0,00254520907558314+0,096571001473371i</v>
      </c>
      <c r="BD510">
        <f t="shared" si="451"/>
        <v>-20.300049603935658</v>
      </c>
      <c r="BE510" s="43">
        <f t="shared" si="452"/>
        <v>91.509728427306342</v>
      </c>
      <c r="BF510" s="41" t="str">
        <f t="shared" si="453"/>
        <v>-0,0523516619836433-0,0976429786154439i</v>
      </c>
      <c r="BG510" s="20">
        <f t="shared" si="454"/>
        <v>-19.109838846546321</v>
      </c>
      <c r="BH510" s="43">
        <f t="shared" si="455"/>
        <v>-118.19815698845272</v>
      </c>
      <c r="BI510" s="41" t="str">
        <f t="shared" si="460"/>
        <v>0,370983026993595+0,0616893574425604i</v>
      </c>
      <c r="BJ510" s="20">
        <f t="shared" si="456"/>
        <v>-8.4944622762165487</v>
      </c>
      <c r="BK510" s="43">
        <f t="shared" si="461"/>
        <v>9.4411108746464265</v>
      </c>
      <c r="BL510">
        <f t="shared" si="457"/>
        <v>-19.109838846546321</v>
      </c>
      <c r="BM510" s="43">
        <f t="shared" si="458"/>
        <v>-118.19815698845272</v>
      </c>
    </row>
    <row r="511" spans="14:65" x14ac:dyDescent="0.25">
      <c r="N511" s="9">
        <v>93</v>
      </c>
      <c r="O511" s="34">
        <f t="shared" si="459"/>
        <v>851138.03820237669</v>
      </c>
      <c r="P511" s="33" t="str">
        <f t="shared" si="411"/>
        <v>54,631621870174</v>
      </c>
      <c r="Q511" s="4" t="str">
        <f t="shared" si="412"/>
        <v>1+23872,3042421214i</v>
      </c>
      <c r="R511" s="4">
        <f t="shared" si="424"/>
        <v>23872.304263066177</v>
      </c>
      <c r="S511" s="4">
        <f t="shared" si="425"/>
        <v>1.5707544372483631</v>
      </c>
      <c r="T511" s="4" t="str">
        <f t="shared" si="413"/>
        <v>1+80,8596132021443i</v>
      </c>
      <c r="U511" s="4">
        <f t="shared" si="426"/>
        <v>80.86579652238882</v>
      </c>
      <c r="V511" s="4">
        <f t="shared" si="427"/>
        <v>1.5584298439087187</v>
      </c>
      <c r="W511" t="str">
        <f t="shared" si="414"/>
        <v>1-21,2809391298441i</v>
      </c>
      <c r="X511" s="4">
        <f t="shared" si="428"/>
        <v>21.304421377923639</v>
      </c>
      <c r="Y511" s="4">
        <f t="shared" si="429"/>
        <v>-1.5238404601054203</v>
      </c>
      <c r="Z511" t="str">
        <f t="shared" si="415"/>
        <v>-1,89774384029997+2,92382891529783i</v>
      </c>
      <c r="AA511" s="4">
        <f t="shared" si="430"/>
        <v>3.4857147343591048</v>
      </c>
      <c r="AB511" s="4">
        <f t="shared" si="431"/>
        <v>2.1465112839851446</v>
      </c>
      <c r="AC511" s="47" t="str">
        <f t="shared" si="432"/>
        <v>-0,969504584909921+0,58257884366861i</v>
      </c>
      <c r="AD511" s="20">
        <f t="shared" si="433"/>
        <v>1.0698504501207093</v>
      </c>
      <c r="AE511" s="43">
        <f t="shared" si="434"/>
        <v>148.99818855255322</v>
      </c>
      <c r="AF511" t="str">
        <f t="shared" si="416"/>
        <v>171,265703090588</v>
      </c>
      <c r="AG511" t="str">
        <f t="shared" si="417"/>
        <v>1+23643,8458742767i</v>
      </c>
      <c r="AH511">
        <f t="shared" si="435"/>
        <v>23643.845895423852</v>
      </c>
      <c r="AI511">
        <f t="shared" si="436"/>
        <v>1.5707540324911391</v>
      </c>
      <c r="AJ511" t="str">
        <f t="shared" si="418"/>
        <v>1+80,8596132021443i</v>
      </c>
      <c r="AK511">
        <f t="shared" si="437"/>
        <v>80.86579652238882</v>
      </c>
      <c r="AL511">
        <f t="shared" si="438"/>
        <v>1.5584298439087187</v>
      </c>
      <c r="AM511" t="str">
        <f t="shared" si="419"/>
        <v>1-6,72338382680984i</v>
      </c>
      <c r="AN511">
        <f t="shared" si="439"/>
        <v>6.7973443404470943</v>
      </c>
      <c r="AO511">
        <f t="shared" si="440"/>
        <v>-1.4231441348369382</v>
      </c>
      <c r="AP511" s="41" t="str">
        <f t="shared" si="441"/>
        <v>0,537177356923451-3,94518579758953i</v>
      </c>
      <c r="AQ511">
        <f t="shared" si="442"/>
        <v>12.001128428081131</v>
      </c>
      <c r="AR511" s="43">
        <f t="shared" si="443"/>
        <v>-82.246276556649491</v>
      </c>
      <c r="AS511" t="str">
        <f t="shared" si="420"/>
        <v>-0,0000166666666666667</v>
      </c>
      <c r="AT511" t="str">
        <f t="shared" si="421"/>
        <v>0,00819826633855074i</v>
      </c>
      <c r="AU511">
        <f t="shared" si="444"/>
        <v>8.1982663385507405E-3</v>
      </c>
      <c r="AV511">
        <f t="shared" si="445"/>
        <v>1.5707963267948966</v>
      </c>
      <c r="AW511" t="str">
        <f t="shared" si="422"/>
        <v>1+37,9896763172873i</v>
      </c>
      <c r="AX511">
        <f t="shared" si="446"/>
        <v>38.00283550858093</v>
      </c>
      <c r="AY511">
        <f t="shared" si="447"/>
        <v>1.5444794631847232</v>
      </c>
      <c r="AZ511" t="str">
        <f t="shared" si="423"/>
        <v>1+1764,79314528489i</v>
      </c>
      <c r="BA511">
        <f t="shared" si="448"/>
        <v>1764.7934286041905</v>
      </c>
      <c r="BB511">
        <f t="shared" si="449"/>
        <v>1.5702296882085867</v>
      </c>
      <c r="BC511" s="41" t="str">
        <f t="shared" si="450"/>
        <v>-0,00243073511574392+0,0943757903960224i</v>
      </c>
      <c r="BD511">
        <f t="shared" si="451"/>
        <v>-20.499907950260706</v>
      </c>
      <c r="BE511" s="43">
        <f t="shared" si="452"/>
        <v>91.475379215379533</v>
      </c>
      <c r="BF511" s="41" t="str">
        <f t="shared" si="453"/>
        <v>-0,0526247299998106-0,0929138563464362i</v>
      </c>
      <c r="BG511" s="20">
        <f t="shared" si="454"/>
        <v>-19.430057500139991</v>
      </c>
      <c r="BH511" s="43">
        <f t="shared" si="455"/>
        <v>-119.52643223206725</v>
      </c>
      <c r="BI511" s="41" t="str">
        <f t="shared" si="460"/>
        <v>0,371024292041818+0,060286239298832i</v>
      </c>
      <c r="BJ511" s="20">
        <f t="shared" si="456"/>
        <v>-8.4987795221795608</v>
      </c>
      <c r="BK511" s="43">
        <f t="shared" si="461"/>
        <v>9.2291026587300546</v>
      </c>
      <c r="BL511">
        <f t="shared" si="457"/>
        <v>-19.430057500139991</v>
      </c>
      <c r="BM511" s="43">
        <f t="shared" si="458"/>
        <v>-119.52643223206725</v>
      </c>
    </row>
    <row r="512" spans="14:65" x14ac:dyDescent="0.25">
      <c r="N512" s="9">
        <v>94</v>
      </c>
      <c r="O512" s="34">
        <f t="shared" si="459"/>
        <v>870963.58995608077</v>
      </c>
      <c r="P512" s="33" t="str">
        <f t="shared" si="411"/>
        <v>54,631621870174</v>
      </c>
      <c r="Q512" s="4" t="str">
        <f t="shared" si="412"/>
        <v>1+24428,3616405569i</v>
      </c>
      <c r="R512" s="4">
        <f t="shared" si="424"/>
        <v>24428.361661024908</v>
      </c>
      <c r="S512" s="4">
        <f t="shared" si="425"/>
        <v>1.570755390770854</v>
      </c>
      <c r="T512" s="4" t="str">
        <f t="shared" si="413"/>
        <v>1+82,7430755482866i</v>
      </c>
      <c r="U512" s="4">
        <f t="shared" si="426"/>
        <v>82.749118129376242</v>
      </c>
      <c r="V512" s="4">
        <f t="shared" si="427"/>
        <v>1.5587113117000382</v>
      </c>
      <c r="W512" t="str">
        <f t="shared" si="414"/>
        <v>1-21,7766358807228i</v>
      </c>
      <c r="X512" s="4">
        <f t="shared" si="428"/>
        <v>21.799584176804466</v>
      </c>
      <c r="Y512" s="4">
        <f t="shared" si="429"/>
        <v>-1.5249077888402582</v>
      </c>
      <c r="Z512" t="str">
        <f t="shared" si="415"/>
        <v>-2,03431030011674+2,9919336396521i</v>
      </c>
      <c r="AA512" s="4">
        <f t="shared" si="430"/>
        <v>3.6180222914242699</v>
      </c>
      <c r="AB512" s="4">
        <f t="shared" si="431"/>
        <v>2.1679262277509901</v>
      </c>
      <c r="AC512" s="47" t="str">
        <f t="shared" si="432"/>
        <v>-0,942771538805029+0,595394011132747i</v>
      </c>
      <c r="AD512" s="20">
        <f t="shared" si="433"/>
        <v>0.94580196188166321</v>
      </c>
      <c r="AE512" s="43">
        <f t="shared" si="434"/>
        <v>147.72612150809809</v>
      </c>
      <c r="AF512" t="str">
        <f t="shared" si="416"/>
        <v>171,265703090588</v>
      </c>
      <c r="AG512" t="str">
        <f t="shared" si="417"/>
        <v>1+24194,5817937135i</v>
      </c>
      <c r="AH512">
        <f t="shared" si="435"/>
        <v>24194.581814379282</v>
      </c>
      <c r="AI512">
        <f t="shared" si="436"/>
        <v>1.5707549952270292</v>
      </c>
      <c r="AJ512" t="str">
        <f t="shared" si="418"/>
        <v>1+82,7430755482866i</v>
      </c>
      <c r="AK512">
        <f t="shared" si="437"/>
        <v>82.749118129376242</v>
      </c>
      <c r="AL512">
        <f t="shared" si="438"/>
        <v>1.5587113117000382</v>
      </c>
      <c r="AM512" t="str">
        <f t="shared" si="419"/>
        <v>1-6,87999155438827i</v>
      </c>
      <c r="AN512">
        <f t="shared" si="439"/>
        <v>6.952286227454529</v>
      </c>
      <c r="AO512">
        <f t="shared" si="440"/>
        <v>-1.4264580933554716</v>
      </c>
      <c r="AP512" s="41" t="str">
        <f t="shared" si="441"/>
        <v>0,537177343178159-4,0367484183734i</v>
      </c>
      <c r="AQ512">
        <f t="shared" si="442"/>
        <v>12.196865993863728</v>
      </c>
      <c r="AR512" s="43">
        <f t="shared" si="443"/>
        <v>-82.420080637434737</v>
      </c>
      <c r="AS512" t="str">
        <f t="shared" si="420"/>
        <v>-0,0000166666666666667</v>
      </c>
      <c r="AT512" t="str">
        <f t="shared" si="421"/>
        <v>0,00838922849309016i</v>
      </c>
      <c r="AU512">
        <f t="shared" si="444"/>
        <v>8.3892284930901593E-3</v>
      </c>
      <c r="AV512">
        <f t="shared" si="445"/>
        <v>1.5707963267948966</v>
      </c>
      <c r="AW512" t="str">
        <f t="shared" si="422"/>
        <v>1+38,8745695544942i</v>
      </c>
      <c r="AX512">
        <f t="shared" si="446"/>
        <v>38.887429306232207</v>
      </c>
      <c r="AY512">
        <f t="shared" si="447"/>
        <v>1.5450782409505495</v>
      </c>
      <c r="AZ512" t="str">
        <f t="shared" si="423"/>
        <v>1+1805,90045839514i</v>
      </c>
      <c r="BA512">
        <f t="shared" si="448"/>
        <v>1805.9007352653073</v>
      </c>
      <c r="BB512">
        <f t="shared" si="449"/>
        <v>1.5702425864748575</v>
      </c>
      <c r="BC512" s="41" t="str">
        <f t="shared" si="450"/>
        <v>-0,00232140635823537+0,0922303474785629i</v>
      </c>
      <c r="BD512">
        <f t="shared" si="451"/>
        <v>-20.699772667734099</v>
      </c>
      <c r="BE512" s="43">
        <f t="shared" si="452"/>
        <v>91.441810792751767</v>
      </c>
      <c r="BF512" s="41" t="str">
        <f t="shared" si="453"/>
        <v>-0,0527248406888833-0,0883342980599861i</v>
      </c>
      <c r="BG512" s="20">
        <f t="shared" si="454"/>
        <v>-19.753970705852431</v>
      </c>
      <c r="BH512" s="43">
        <f t="shared" si="455"/>
        <v>-120.83206769915016</v>
      </c>
      <c r="BI512" s="41" t="str">
        <f t="shared" si="460"/>
        <v>0,371063702410164+0,0589149864639414i</v>
      </c>
      <c r="BJ512" s="20">
        <f t="shared" si="456"/>
        <v>-8.5029066738703758</v>
      </c>
      <c r="BK512" s="43">
        <f t="shared" si="461"/>
        <v>9.0217301553170373</v>
      </c>
      <c r="BL512">
        <f t="shared" si="457"/>
        <v>-19.753970705852431</v>
      </c>
      <c r="BM512" s="43">
        <f t="shared" si="458"/>
        <v>-120.83206769915016</v>
      </c>
    </row>
    <row r="513" spans="14:65" x14ac:dyDescent="0.25">
      <c r="N513" s="9">
        <v>95</v>
      </c>
      <c r="O513" s="34">
        <f t="shared" si="459"/>
        <v>891250.93813374708</v>
      </c>
      <c r="P513" s="33" t="str">
        <f t="shared" si="411"/>
        <v>54,631621870174</v>
      </c>
      <c r="Q513" s="4" t="str">
        <f t="shared" si="412"/>
        <v>1+24997,3712796819i</v>
      </c>
      <c r="R513" s="4">
        <f t="shared" si="424"/>
        <v>24997.371299684004</v>
      </c>
      <c r="S513" s="4">
        <f t="shared" si="425"/>
        <v>1.570756322588523</v>
      </c>
      <c r="T513" s="4" t="str">
        <f t="shared" si="413"/>
        <v>1+84,6704093683188i</v>
      </c>
      <c r="U513" s="4">
        <f t="shared" si="426"/>
        <v>84.676314413173941</v>
      </c>
      <c r="V513" s="4">
        <f t="shared" si="427"/>
        <v>1.5589863743526098</v>
      </c>
      <c r="W513" t="str">
        <f t="shared" si="414"/>
        <v>1-22,2838788921933i</v>
      </c>
      <c r="X513" s="4">
        <f t="shared" si="428"/>
        <v>22.306305352566525</v>
      </c>
      <c r="Y513" s="4">
        <f t="shared" si="429"/>
        <v>-1.5259509233143311</v>
      </c>
      <c r="Z513" t="str">
        <f t="shared" si="415"/>
        <v>-2,17731293889714+3,06162472682505i</v>
      </c>
      <c r="AA513" s="4">
        <f t="shared" si="430"/>
        <v>3.7568920135925477</v>
      </c>
      <c r="AB513" s="4">
        <f t="shared" si="431"/>
        <v>2.1889747348953321</v>
      </c>
      <c r="AC513" s="47" t="str">
        <f t="shared" si="432"/>
        <v>-0,916003451415505+0,606839784569446i</v>
      </c>
      <c r="AD513" s="20">
        <f t="shared" si="433"/>
        <v>0.81821260906860049</v>
      </c>
      <c r="AE513" s="43">
        <f t="shared" si="434"/>
        <v>146.47607022072168</v>
      </c>
      <c r="AF513" t="str">
        <f t="shared" si="416"/>
        <v>171,265703090588</v>
      </c>
      <c r="AG513" t="str">
        <f t="shared" si="417"/>
        <v>1+24758,1460006706i</v>
      </c>
      <c r="AH513">
        <f t="shared" si="435"/>
        <v>24758.146020865974</v>
      </c>
      <c r="AI513">
        <f t="shared" si="436"/>
        <v>1.5707559360483752</v>
      </c>
      <c r="AJ513" t="str">
        <f t="shared" si="418"/>
        <v>1+84,6704093683188i</v>
      </c>
      <c r="AK513">
        <f t="shared" si="437"/>
        <v>84.676314413173941</v>
      </c>
      <c r="AL513">
        <f t="shared" si="438"/>
        <v>1.5589863743526098</v>
      </c>
      <c r="AM513" t="str">
        <f t="shared" si="419"/>
        <v>1-7,0402471445563i</v>
      </c>
      <c r="AN513">
        <f t="shared" si="439"/>
        <v>7.1109127301938635</v>
      </c>
      <c r="AO513">
        <f t="shared" si="440"/>
        <v>-1.4296997047922251</v>
      </c>
      <c r="AP513" s="41" t="str">
        <f t="shared" si="441"/>
        <v>0,53717733005151-4,1304513766013i</v>
      </c>
      <c r="AQ513">
        <f t="shared" si="442"/>
        <v>12.39279154630491</v>
      </c>
      <c r="AR513" s="43">
        <f t="shared" si="443"/>
        <v>-82.59010526758037</v>
      </c>
      <c r="AS513" t="str">
        <f t="shared" si="420"/>
        <v>-0,0000166666666666667</v>
      </c>
      <c r="AT513" t="str">
        <f t="shared" si="421"/>
        <v>0,00858463872762121i</v>
      </c>
      <c r="AU513">
        <f t="shared" si="444"/>
        <v>8.5846387276212101E-3</v>
      </c>
      <c r="AV513">
        <f t="shared" si="445"/>
        <v>1.5707963267948966</v>
      </c>
      <c r="AW513" t="str">
        <f t="shared" si="422"/>
        <v>1+39,7800746030448i</v>
      </c>
      <c r="AX513">
        <f t="shared" si="446"/>
        <v>39.792641724618015</v>
      </c>
      <c r="AY513">
        <f t="shared" si="447"/>
        <v>1.5456634066947741</v>
      </c>
      <c r="AZ513" t="str">
        <f t="shared" si="423"/>
        <v>1+1847,96528383235i</v>
      </c>
      <c r="BA513">
        <f t="shared" si="448"/>
        <v>1847.9655544001837</v>
      </c>
      <c r="BB513">
        <f t="shared" si="449"/>
        <v>1.570255191140921</v>
      </c>
      <c r="BC513" s="41" t="str">
        <f t="shared" si="450"/>
        <v>-0,00221699184389754+0,090133553252071i</v>
      </c>
      <c r="BD513">
        <f t="shared" si="451"/>
        <v>-20.899643469986657</v>
      </c>
      <c r="BE513" s="43">
        <f t="shared" si="452"/>
        <v>91.409005459459678</v>
      </c>
      <c r="BF513" s="41" t="str">
        <f t="shared" si="453"/>
        <v>-0,0526658538571953-0,0839080047201832i</v>
      </c>
      <c r="BG513" s="20">
        <f t="shared" si="454"/>
        <v>-20.081430860918058</v>
      </c>
      <c r="BH513" s="43">
        <f t="shared" si="455"/>
        <v>-122.11492431981866</v>
      </c>
      <c r="BI513" s="41" t="str">
        <f t="shared" si="460"/>
        <v>0,371101341348532+0,0575748784975435i</v>
      </c>
      <c r="BJ513" s="20">
        <f t="shared" si="456"/>
        <v>-8.5068519236817561</v>
      </c>
      <c r="BK513" s="43">
        <f t="shared" si="461"/>
        <v>8.8189001918793153</v>
      </c>
      <c r="BL513">
        <f t="shared" si="457"/>
        <v>-20.081430860918058</v>
      </c>
      <c r="BM513" s="43">
        <f t="shared" si="458"/>
        <v>-122.11492431981866</v>
      </c>
    </row>
    <row r="514" spans="14:65" x14ac:dyDescent="0.25">
      <c r="N514" s="9">
        <v>96</v>
      </c>
      <c r="O514" s="34">
        <f t="shared" si="459"/>
        <v>912010.83935591124</v>
      </c>
      <c r="P514" s="33" t="str">
        <f t="shared" si="411"/>
        <v>54,631621870174</v>
      </c>
      <c r="Q514" s="4" t="str">
        <f t="shared" si="412"/>
        <v>1+25579,6348559387i</v>
      </c>
      <c r="R514" s="4">
        <f t="shared" si="424"/>
        <v>25579.634875485499</v>
      </c>
      <c r="S514" s="4">
        <f t="shared" si="425"/>
        <v>1.5707572331954327</v>
      </c>
      <c r="T514" s="4" t="str">
        <f t="shared" si="413"/>
        <v>1+86,6426365601433i</v>
      </c>
      <c r="U514" s="4">
        <f t="shared" si="426"/>
        <v>86.648407198823236</v>
      </c>
      <c r="V514" s="4">
        <f t="shared" si="427"/>
        <v>1.5592551775417083</v>
      </c>
      <c r="W514" t="str">
        <f t="shared" si="414"/>
        <v>1-22,8029371112144i</v>
      </c>
      <c r="X514" s="4">
        <f t="shared" si="428"/>
        <v>22.82485357889507</v>
      </c>
      <c r="Y514" s="4">
        <f t="shared" si="429"/>
        <v>-1.5269704075256538</v>
      </c>
      <c r="Z514" t="str">
        <f t="shared" si="415"/>
        <v>-2,3270550844107+3,13293912795355i</v>
      </c>
      <c r="AA514" s="4">
        <f t="shared" si="430"/>
        <v>3.9026264163181232</v>
      </c>
      <c r="AB514" s="4">
        <f t="shared" si="431"/>
        <v>2.2096545432359114</v>
      </c>
      <c r="AC514" s="47" t="str">
        <f t="shared" si="432"/>
        <v>-0,889276518181983+0,616955801208851i</v>
      </c>
      <c r="AD514" s="20">
        <f t="shared" si="433"/>
        <v>0.68722713627113086</v>
      </c>
      <c r="AE514" s="43">
        <f t="shared" si="434"/>
        <v>145.24814145340019</v>
      </c>
      <c r="AF514" t="str">
        <f t="shared" si="416"/>
        <v>171,265703090588</v>
      </c>
      <c r="AG514" t="str">
        <f t="shared" si="417"/>
        <v>1+25334,83730435i</v>
      </c>
      <c r="AH514">
        <f t="shared" si="435"/>
        <v>25334.837324085667</v>
      </c>
      <c r="AI514">
        <f t="shared" si="436"/>
        <v>1.5707568554540126</v>
      </c>
      <c r="AJ514" t="str">
        <f t="shared" si="418"/>
        <v>1+86,6426365601433i</v>
      </c>
      <c r="AK514">
        <f t="shared" si="437"/>
        <v>86.648407198823236</v>
      </c>
      <c r="AL514">
        <f t="shared" si="438"/>
        <v>1.5592551775417083</v>
      </c>
      <c r="AM514" t="str">
        <f t="shared" si="419"/>
        <v>1-7,20423556694905i</v>
      </c>
      <c r="AN514">
        <f t="shared" si="439"/>
        <v>7.2733080578299241</v>
      </c>
      <c r="AO514">
        <f t="shared" si="440"/>
        <v>-1.4328704152462823</v>
      </c>
      <c r="AP514" s="41" t="str">
        <f t="shared" si="441"/>
        <v>0,537177317515657-4,22634435482204i</v>
      </c>
      <c r="AQ514">
        <f t="shared" si="442"/>
        <v>12.588896957204136</v>
      </c>
      <c r="AR514" s="43">
        <f t="shared" si="443"/>
        <v>-82.756424984463578</v>
      </c>
      <c r="AS514" t="str">
        <f t="shared" si="420"/>
        <v>-0,0000166666666666667</v>
      </c>
      <c r="AT514" t="str">
        <f t="shared" si="421"/>
        <v>0,00878460065123675i</v>
      </c>
      <c r="AU514">
        <f t="shared" si="444"/>
        <v>8.7846006512367503E-3</v>
      </c>
      <c r="AV514">
        <f t="shared" si="445"/>
        <v>1.5707963267948966</v>
      </c>
      <c r="AW514" t="str">
        <f t="shared" si="422"/>
        <v>1+40,7066715737013i</v>
      </c>
      <c r="AX514">
        <f t="shared" si="446"/>
        <v>40.718952719945797</v>
      </c>
      <c r="AY514">
        <f t="shared" si="447"/>
        <v>1.5462352690761272</v>
      </c>
      <c r="AZ514" t="str">
        <f t="shared" si="423"/>
        <v>1+1891,00992492376i</v>
      </c>
      <c r="BA514">
        <f t="shared" si="448"/>
        <v>1891.0101893327189</v>
      </c>
      <c r="BB514">
        <f t="shared" si="449"/>
        <v>1.5702675088899223</v>
      </c>
      <c r="BC514" s="41" t="str">
        <f t="shared" si="450"/>
        <v>-0,0021172709545764+0,0880843128380637i</v>
      </c>
      <c r="BD514">
        <f t="shared" si="451"/>
        <v>-21.099520083504327</v>
      </c>
      <c r="BE514" s="43">
        <f t="shared" si="452"/>
        <v>91.376945913576705</v>
      </c>
      <c r="BF514" s="41" t="str">
        <f t="shared" si="453"/>
        <v>-0,0524612884584051-0,0796375736252427i</v>
      </c>
      <c r="BG514" s="20">
        <f t="shared" si="454"/>
        <v>-20.412292947233198</v>
      </c>
      <c r="BH514" s="43">
        <f t="shared" si="455"/>
        <v>-123.37491263302307</v>
      </c>
      <c r="BI514" s="41" t="str">
        <f t="shared" si="460"/>
        <v>0,371137288379696+0,0562652110320636i</v>
      </c>
      <c r="BJ514" s="20">
        <f t="shared" si="456"/>
        <v>-8.5106231263001888</v>
      </c>
      <c r="BK514" s="43">
        <f t="shared" si="461"/>
        <v>8.6205209291131268</v>
      </c>
      <c r="BL514">
        <f t="shared" si="457"/>
        <v>-20.412292947233198</v>
      </c>
      <c r="BM514" s="43">
        <f t="shared" si="458"/>
        <v>-123.37491263302307</v>
      </c>
    </row>
    <row r="515" spans="14:65" x14ac:dyDescent="0.25">
      <c r="N515" s="9">
        <v>97</v>
      </c>
      <c r="O515" s="34">
        <f t="shared" si="459"/>
        <v>933254.30079699249</v>
      </c>
      <c r="P515" s="33" t="str">
        <f t="shared" si="411"/>
        <v>54,631621870174</v>
      </c>
      <c r="Q515" s="4" t="str">
        <f t="shared" si="412"/>
        <v>1+26175,4610931826i</v>
      </c>
      <c r="R515" s="4">
        <f t="shared" si="424"/>
        <v>26175.461112284458</v>
      </c>
      <c r="S515" s="4">
        <f t="shared" si="425"/>
        <v>1.5707581230743985</v>
      </c>
      <c r="T515" s="4" t="str">
        <f t="shared" si="413"/>
        <v>1+88,6608028247229i</v>
      </c>
      <c r="U515" s="4">
        <f t="shared" si="426"/>
        <v>88.666442116081271</v>
      </c>
      <c r="V515" s="4">
        <f t="shared" si="427"/>
        <v>1.5595178636348739</v>
      </c>
      <c r="W515" t="str">
        <f t="shared" si="414"/>
        <v>1-23,3340857493244i</v>
      </c>
      <c r="X515" s="4">
        <f t="shared" si="428"/>
        <v>23.355503800107247</v>
      </c>
      <c r="Y515" s="4">
        <f t="shared" si="429"/>
        <v>-1.5279667735366322</v>
      </c>
      <c r="Z515" t="str">
        <f t="shared" si="415"/>
        <v>-2,48385435982434+3,20591465487705i</v>
      </c>
      <c r="AA515" s="4">
        <f t="shared" si="430"/>
        <v>4.0555420420917612</v>
      </c>
      <c r="AB515" s="4">
        <f t="shared" si="431"/>
        <v>2.2299642178397834</v>
      </c>
      <c r="AC515" s="47" t="str">
        <f t="shared" si="432"/>
        <v>-0,862661276105352+0,625785374275354i</v>
      </c>
      <c r="AD515" s="20">
        <f t="shared" si="433"/>
        <v>0.55298733480797657</v>
      </c>
      <c r="AE515" s="43">
        <f t="shared" si="434"/>
        <v>144.04239506620118</v>
      </c>
      <c r="AF515" t="str">
        <f t="shared" si="416"/>
        <v>171,265703090588</v>
      </c>
      <c r="AG515" t="str">
        <f t="shared" si="417"/>
        <v>1+25924,9614741144i</v>
      </c>
      <c r="AH515">
        <f t="shared" si="435"/>
        <v>25924.961493400831</v>
      </c>
      <c r="AI515">
        <f t="shared" si="436"/>
        <v>1.5707577539314228</v>
      </c>
      <c r="AJ515" t="str">
        <f t="shared" si="418"/>
        <v>1+88,6608028247229i</v>
      </c>
      <c r="AK515">
        <f t="shared" si="437"/>
        <v>88.666442116081271</v>
      </c>
      <c r="AL515">
        <f t="shared" si="438"/>
        <v>1.5595178636348739</v>
      </c>
      <c r="AM515" t="str">
        <f t="shared" si="419"/>
        <v>1-7,37204377039873i</v>
      </c>
      <c r="AN515">
        <f t="shared" si="439"/>
        <v>7.4395584111340058</v>
      </c>
      <c r="AO515">
        <f t="shared" si="440"/>
        <v>-1.4359716507251359</v>
      </c>
      <c r="AP515" s="41" t="str">
        <f t="shared" si="441"/>
        <v>0,537177305544007-4,32447819676192i</v>
      </c>
      <c r="AQ515">
        <f t="shared" si="442"/>
        <v>12.785174435756225</v>
      </c>
      <c r="AR515" s="43">
        <f t="shared" si="443"/>
        <v>-82.919113363166559</v>
      </c>
      <c r="AS515" t="str">
        <f t="shared" si="420"/>
        <v>-0,0000166666666666667</v>
      </c>
      <c r="AT515" t="str">
        <f t="shared" si="421"/>
        <v>0,00898922028639552i</v>
      </c>
      <c r="AU515">
        <f t="shared" si="444"/>
        <v>8.9892202863955193E-3</v>
      </c>
      <c r="AV515">
        <f t="shared" si="445"/>
        <v>1.5707963267948966</v>
      </c>
      <c r="AW515" t="str">
        <f t="shared" si="422"/>
        <v>1+41,6548517604427i</v>
      </c>
      <c r="AX515">
        <f t="shared" si="446"/>
        <v>41.666853435128218</v>
      </c>
      <c r="AY515">
        <f t="shared" si="447"/>
        <v>1.5467941298066423</v>
      </c>
      <c r="AZ515" t="str">
        <f t="shared" si="423"/>
        <v>1+1935,05720450784i</v>
      </c>
      <c r="BA515">
        <f t="shared" si="448"/>
        <v>1935.0574628981167</v>
      </c>
      <c r="BB515">
        <f t="shared" si="449"/>
        <v>1.5702795462528798</v>
      </c>
      <c r="BC515" s="41" t="str">
        <f t="shared" si="450"/>
        <v>-0,00202203295243177+0,0860815554480382i</v>
      </c>
      <c r="BD515">
        <f t="shared" si="451"/>
        <v>-21.299402247052988</v>
      </c>
      <c r="BE515" s="43">
        <f t="shared" si="452"/>
        <v>91.345615242476526</v>
      </c>
      <c r="BF515" s="41" t="str">
        <f t="shared" si="453"/>
        <v>-0,0521242488671834-0,0755245831198729i</v>
      </c>
      <c r="BG515" s="20">
        <f t="shared" si="454"/>
        <v>-20.746414912245005</v>
      </c>
      <c r="BH515" s="43">
        <f t="shared" si="455"/>
        <v>-124.61198969132229</v>
      </c>
      <c r="BI515" s="41" t="str">
        <f t="shared" si="460"/>
        <v>0,371171619465285+0,0549852954285395i</v>
      </c>
      <c r="BJ515" s="20">
        <f t="shared" si="456"/>
        <v>-8.5142278112967631</v>
      </c>
      <c r="BK515" s="43">
        <f t="shared" si="461"/>
        <v>8.4265018793099653</v>
      </c>
      <c r="BL515">
        <f t="shared" si="457"/>
        <v>-20.746414912245005</v>
      </c>
      <c r="BM515" s="43">
        <f t="shared" si="458"/>
        <v>-124.61198969132229</v>
      </c>
    </row>
    <row r="516" spans="14:65" x14ac:dyDescent="0.25">
      <c r="N516" s="9">
        <v>98</v>
      </c>
      <c r="O516" s="34">
        <f t="shared" si="459"/>
        <v>954992.58602143743</v>
      </c>
      <c r="P516" s="33" t="str">
        <f t="shared" si="411"/>
        <v>54,631621870174</v>
      </c>
      <c r="Q516" s="4" t="str">
        <f t="shared" si="412"/>
        <v>1+26785,1659063712i</v>
      </c>
      <c r="R516" s="4">
        <f t="shared" si="424"/>
        <v>26785.165925038247</v>
      </c>
      <c r="S516" s="4">
        <f t="shared" si="425"/>
        <v>1.5707589926972461</v>
      </c>
      <c r="T516" s="4" t="str">
        <f t="shared" si="413"/>
        <v>1+90,7259782205246i</v>
      </c>
      <c r="U516" s="4">
        <f t="shared" si="426"/>
        <v>90.731489153827425</v>
      </c>
      <c r="V516" s="4">
        <f t="shared" si="427"/>
        <v>1.5597745717666562</v>
      </c>
      <c r="W516" t="str">
        <f t="shared" si="414"/>
        <v>1-23,8776064285619i</v>
      </c>
      <c r="X516" s="4">
        <f t="shared" si="428"/>
        <v>23.898537376946326</v>
      </c>
      <c r="Y516" s="4">
        <f t="shared" si="429"/>
        <v>-1.5289405417161064</v>
      </c>
      <c r="Z516" t="str">
        <f t="shared" si="415"/>
        <v>-2,64804335742365+3,28059000018586i</v>
      </c>
      <c r="AA516" s="4">
        <f t="shared" si="430"/>
        <v>4.2159701578776589</v>
      </c>
      <c r="AB516" s="4">
        <f t="shared" si="431"/>
        <v>2.2499030959751516</v>
      </c>
      <c r="AC516" s="47" t="str">
        <f t="shared" si="432"/>
        <v>-0,836222581212316+0,633374845823506i</v>
      </c>
      <c r="AD516" s="20">
        <f t="shared" si="433"/>
        <v>0.41563171754024769</v>
      </c>
      <c r="AE516" s="43">
        <f t="shared" si="434"/>
        <v>142.85884716070976</v>
      </c>
      <c r="AF516" t="str">
        <f t="shared" si="416"/>
        <v>171,265703090588</v>
      </c>
      <c r="AG516" t="str">
        <f t="shared" si="417"/>
        <v>1+26528,8314016098i</v>
      </c>
      <c r="AH516">
        <f t="shared" si="435"/>
        <v>26528.83142045722</v>
      </c>
      <c r="AI516">
        <f t="shared" si="436"/>
        <v>1.5707586319569904</v>
      </c>
      <c r="AJ516" t="str">
        <f t="shared" si="418"/>
        <v>1+90,7259782205246i</v>
      </c>
      <c r="AK516">
        <f t="shared" si="437"/>
        <v>90.731489153827425</v>
      </c>
      <c r="AL516">
        <f t="shared" si="438"/>
        <v>1.5597745717666562</v>
      </c>
      <c r="AM516" t="str">
        <f t="shared" si="419"/>
        <v>1-7,54376072903601i</v>
      </c>
      <c r="AN516">
        <f t="shared" si="439"/>
        <v>7.6097520286107825</v>
      </c>
      <c r="AO516">
        <f t="shared" si="440"/>
        <v>-1.4390048168062226</v>
      </c>
      <c r="AP516" s="41" t="str">
        <f t="shared" si="441"/>
        <v>0,537177294111173-4,42490493428292i</v>
      </c>
      <c r="AQ516">
        <f t="shared" si="442"/>
        <v>12.981616515763648</v>
      </c>
      <c r="AR516" s="43">
        <f t="shared" si="443"/>
        <v>-83.07824299281657</v>
      </c>
      <c r="AS516" t="str">
        <f t="shared" si="420"/>
        <v>-0,0000166666666666667</v>
      </c>
      <c r="AT516" t="str">
        <f t="shared" si="421"/>
        <v>0,00919860612513653i</v>
      </c>
      <c r="AU516">
        <f t="shared" si="444"/>
        <v>9.1986061251365294E-3</v>
      </c>
      <c r="AV516">
        <f t="shared" si="445"/>
        <v>1.5707963267948966</v>
      </c>
      <c r="AW516" t="str">
        <f t="shared" si="422"/>
        <v>1+42,6251179009547i</v>
      </c>
      <c r="AX516">
        <f t="shared" si="446"/>
        <v>42.636846460195535</v>
      </c>
      <c r="AY516">
        <f t="shared" si="447"/>
        <v>1.5473402838045054</v>
      </c>
      <c r="AZ516" t="str">
        <f t="shared" si="423"/>
        <v>1+1980,13047703526i</v>
      </c>
      <c r="BA516">
        <f t="shared" si="448"/>
        <v>1980.1307295438567</v>
      </c>
      <c r="BB516">
        <f t="shared" si="449"/>
        <v>1.5702913096121487</v>
      </c>
      <c r="BC516" s="41" t="str">
        <f t="shared" si="450"/>
        <v>-0,00193107653956505+0,0841242338904807i</v>
      </c>
      <c r="BD516">
        <f t="shared" si="451"/>
        <v>-21.499289711128121</v>
      </c>
      <c r="BE516" s="43">
        <f t="shared" si="452"/>
        <v>91.314996914273777</v>
      </c>
      <c r="BF516" s="41" t="str">
        <f t="shared" si="453"/>
        <v>-0,0516673638619701-0,0715696793119268i</v>
      </c>
      <c r="BG516" s="20">
        <f t="shared" si="454"/>
        <v>-21.08365799358787</v>
      </c>
      <c r="BH516" s="43">
        <f t="shared" si="455"/>
        <v>-125.82615592501641</v>
      </c>
      <c r="BI516" s="41" t="str">
        <f t="shared" si="460"/>
        <v>0,371204407164513+0,0537344584388632i</v>
      </c>
      <c r="BJ516" s="20">
        <f t="shared" si="456"/>
        <v>-8.5176731953644804</v>
      </c>
      <c r="BK516" s="43">
        <f t="shared" si="461"/>
        <v>8.2367539214572201</v>
      </c>
      <c r="BL516">
        <f t="shared" si="457"/>
        <v>-21.08365799358787</v>
      </c>
      <c r="BM516" s="43">
        <f t="shared" si="458"/>
        <v>-125.82615592501641</v>
      </c>
    </row>
    <row r="517" spans="14:65" x14ac:dyDescent="0.25">
      <c r="N517" s="9">
        <v>99</v>
      </c>
      <c r="O517" s="34">
        <f t="shared" si="459"/>
        <v>977237.22095581202</v>
      </c>
      <c r="P517" s="33" t="str">
        <f t="shared" si="411"/>
        <v>54,631621870174</v>
      </c>
      <c r="Q517" s="4" t="str">
        <f t="shared" si="412"/>
        <v>1+27409,0725690671i</v>
      </c>
      <c r="R517" s="4">
        <f t="shared" si="424"/>
        <v>27409.072587309234</v>
      </c>
      <c r="S517" s="4">
        <f t="shared" si="425"/>
        <v>1.5707598425250608</v>
      </c>
      <c r="T517" s="4" t="str">
        <f t="shared" si="413"/>
        <v>1+92,8392577308792i</v>
      </c>
      <c r="U517" s="4">
        <f t="shared" si="426"/>
        <v>92.844643227386101</v>
      </c>
      <c r="V517" s="4">
        <f t="shared" si="427"/>
        <v>1.5600254379116922</v>
      </c>
      <c r="W517" t="str">
        <f t="shared" si="414"/>
        <v>1-24,4337873307853i</v>
      </c>
      <c r="X517" s="4">
        <f t="shared" si="428"/>
        <v>24.454242235776686</v>
      </c>
      <c r="Y517" s="4">
        <f t="shared" si="429"/>
        <v>-1.5298922209778392</v>
      </c>
      <c r="Z517" t="str">
        <f t="shared" si="415"/>
        <v>-2,81997034408576+3,35700475773651i</v>
      </c>
      <c r="AA517" s="4">
        <f t="shared" si="430"/>
        <v>4.3842574838835278</v>
      </c>
      <c r="AB517" s="4">
        <f t="shared" si="431"/>
        <v>2.2694712320100909</v>
      </c>
      <c r="AC517" s="47" t="str">
        <f t="shared" si="432"/>
        <v>-0,810019649040839+0,639772976479069i</v>
      </c>
      <c r="AD517" s="20">
        <f t="shared" si="433"/>
        <v>0.27529524708674913</v>
      </c>
      <c r="AE517" s="43">
        <f t="shared" si="434"/>
        <v>141.69747322760864</v>
      </c>
      <c r="AF517" t="str">
        <f t="shared" si="416"/>
        <v>171,265703090588</v>
      </c>
      <c r="AG517" t="str">
        <f t="shared" si="417"/>
        <v>1+27146,7672666649i</v>
      </c>
      <c r="AH517">
        <f t="shared" si="435"/>
        <v>27146.767285083301</v>
      </c>
      <c r="AI517">
        <f t="shared" si="436"/>
        <v>1.570759489996256</v>
      </c>
      <c r="AJ517" t="str">
        <f t="shared" si="418"/>
        <v>1+92,8392577308792i</v>
      </c>
      <c r="AK517">
        <f t="shared" si="437"/>
        <v>92.844643227386101</v>
      </c>
      <c r="AL517">
        <f t="shared" si="438"/>
        <v>1.5600254379116922</v>
      </c>
      <c r="AM517" t="str">
        <f t="shared" si="419"/>
        <v>1-7,7194774894653i</v>
      </c>
      <c r="AN517">
        <f t="shared" si="439"/>
        <v>7.7839792336800002</v>
      </c>
      <c r="AO517">
        <f t="shared" si="440"/>
        <v>-1.4419712983530077</v>
      </c>
      <c r="AP517" s="41" t="str">
        <f t="shared" si="441"/>
        <v>0,537177283192903-4,52767781497057i</v>
      </c>
      <c r="AQ517">
        <f t="shared" si="442"/>
        <v>13.178216043225934</v>
      </c>
      <c r="AR517" s="43">
        <f t="shared" si="443"/>
        <v>-83.233885456146055</v>
      </c>
      <c r="AS517" t="str">
        <f t="shared" si="420"/>
        <v>-0,0000166666666666667</v>
      </c>
      <c r="AT517" t="str">
        <f t="shared" si="421"/>
        <v>0,00941286918660303i</v>
      </c>
      <c r="AU517">
        <f t="shared" si="444"/>
        <v>9.4128691866030307E-3</v>
      </c>
      <c r="AV517">
        <f t="shared" si="445"/>
        <v>1.5707963267948966</v>
      </c>
      <c r="AW517" t="str">
        <f t="shared" si="422"/>
        <v>1+43,6179844431879i</v>
      </c>
      <c r="AX517">
        <f t="shared" si="446"/>
        <v>43.629446098778075</v>
      </c>
      <c r="AY517">
        <f t="shared" si="447"/>
        <v>1.5478740193437754</v>
      </c>
      <c r="AZ517" t="str">
        <f t="shared" si="423"/>
        <v>1+2026,25364095173i</v>
      </c>
      <c r="BA517">
        <f t="shared" si="448"/>
        <v>2026.2538877125303</v>
      </c>
      <c r="BB517">
        <f t="shared" si="449"/>
        <v>1.5703028052048047</v>
      </c>
      <c r="BC517" s="41" t="str">
        <f t="shared" si="450"/>
        <v>-0,00184420943708837+0,0822113240854197i</v>
      </c>
      <c r="BD517">
        <f t="shared" si="451"/>
        <v>-21.699182237429433</v>
      </c>
      <c r="BE517" s="43">
        <f t="shared" si="452"/>
        <v>91.285074769439674</v>
      </c>
      <c r="BF517" s="41" t="str">
        <f t="shared" si="453"/>
        <v>-0,0511027376294262-0,0677726632436712i</v>
      </c>
      <c r="BG517" s="20">
        <f t="shared" si="454"/>
        <v>-21.423886990342687</v>
      </c>
      <c r="BH517" s="43">
        <f t="shared" si="455"/>
        <v>-127.01745200295167</v>
      </c>
      <c r="BI517" s="41" t="str">
        <f t="shared" si="460"/>
        <v>0,371235720785857+0,0525120418743614i</v>
      </c>
      <c r="BJ517" s="20">
        <f t="shared" si="456"/>
        <v>-8.5209661942034938</v>
      </c>
      <c r="BK517" s="43">
        <f t="shared" si="461"/>
        <v>8.051189313293623</v>
      </c>
      <c r="BL517">
        <f t="shared" si="457"/>
        <v>-21.423886990342687</v>
      </c>
      <c r="BM517" s="43">
        <f t="shared" si="458"/>
        <v>-127.01745200295167</v>
      </c>
    </row>
    <row r="518" spans="14:65" x14ac:dyDescent="0.25">
      <c r="N518" s="9">
        <v>100</v>
      </c>
      <c r="O518" s="34">
        <f t="shared" si="459"/>
        <v>1000000</v>
      </c>
      <c r="P518" s="33" t="str">
        <f t="shared" si="411"/>
        <v>54,631621870174</v>
      </c>
      <c r="Q518" s="4" t="str">
        <f t="shared" si="412"/>
        <v>1+28047,511884841i</v>
      </c>
      <c r="R518" s="4">
        <f t="shared" si="424"/>
        <v>28047.511902667891</v>
      </c>
      <c r="S518" s="4">
        <f t="shared" si="425"/>
        <v>1.5707606730084331</v>
      </c>
      <c r="T518" s="4" t="str">
        <f t="shared" si="413"/>
        <v>1+95,0017618445554i</v>
      </c>
      <c r="U518" s="4">
        <f t="shared" si="426"/>
        <v>95.00702475906516</v>
      </c>
      <c r="V518" s="4">
        <f t="shared" si="427"/>
        <v>1.5602705949561564</v>
      </c>
      <c r="W518" t="str">
        <f t="shared" si="414"/>
        <v>1-25,0029233504708i</v>
      </c>
      <c r="X518" s="4">
        <f t="shared" si="428"/>
        <v>25.022913021259495</v>
      </c>
      <c r="Y518" s="4">
        <f t="shared" si="429"/>
        <v>-1.5308223090154045</v>
      </c>
      <c r="Z518" t="str">
        <f t="shared" si="415"/>
        <v>-3,00000000000001+3,43519944364491i</v>
      </c>
      <c r="AA518" s="4">
        <f t="shared" si="430"/>
        <v>4.5607669549778969</v>
      </c>
      <c r="AB518" s="4">
        <f t="shared" si="431"/>
        <v>2.28866934282666</v>
      </c>
      <c r="AC518" s="47" t="str">
        <f t="shared" si="432"/>
        <v>-0,784106149642548+0,645030376265694i</v>
      </c>
      <c r="AD518" s="20">
        <f t="shared" si="433"/>
        <v>0.13210911416574647</v>
      </c>
      <c r="AE518" s="43">
        <f t="shared" si="434"/>
        <v>140.55821126484025</v>
      </c>
      <c r="AF518" t="str">
        <f t="shared" si="416"/>
        <v>171,265703090588</v>
      </c>
      <c r="AG518" t="str">
        <f t="shared" si="417"/>
        <v>1+27779,0967070547i</v>
      </c>
      <c r="AH518">
        <f t="shared" si="435"/>
        <v>27779.096725053845</v>
      </c>
      <c r="AI518">
        <f t="shared" si="436"/>
        <v>1.5707603285041634</v>
      </c>
      <c r="AJ518" t="str">
        <f t="shared" si="418"/>
        <v>1+95,0017618445554i</v>
      </c>
      <c r="AK518">
        <f t="shared" si="437"/>
        <v>95.00702475906516</v>
      </c>
      <c r="AL518">
        <f t="shared" si="438"/>
        <v>1.5602705949561564</v>
      </c>
      <c r="AM518" t="str">
        <f t="shared" si="419"/>
        <v>1-7,89928721903887i</v>
      </c>
      <c r="AN518">
        <f t="shared" si="439"/>
        <v>7.9623324829393329</v>
      </c>
      <c r="AO518">
        <f t="shared" si="440"/>
        <v>-1.4448724592818869</v>
      </c>
      <c r="AP518" s="41" t="str">
        <f t="shared" si="441"/>
        <v>0,537177272766034-4,63285133036662i</v>
      </c>
      <c r="AQ518">
        <f t="shared" si="442"/>
        <v>13.374966164305992</v>
      </c>
      <c r="AR518" s="43">
        <f t="shared" si="443"/>
        <v>-83.386111312057594</v>
      </c>
      <c r="AS518" t="str">
        <f t="shared" si="420"/>
        <v>-0,0000166666666666667</v>
      </c>
      <c r="AT518" t="str">
        <f t="shared" si="421"/>
        <v>0,00963212307590631i</v>
      </c>
      <c r="AU518">
        <f t="shared" si="444"/>
        <v>9.6321230759063101E-3</v>
      </c>
      <c r="AV518">
        <f t="shared" si="445"/>
        <v>1.5707963267948966</v>
      </c>
      <c r="AW518" t="str">
        <f t="shared" si="422"/>
        <v>1+44,6339778181251i</v>
      </c>
      <c r="AX518">
        <f t="shared" si="446"/>
        <v>44.645178640799315</v>
      </c>
      <c r="AY518">
        <f t="shared" si="447"/>
        <v>1.5483956182010257</v>
      </c>
      <c r="AZ518" t="str">
        <f t="shared" si="423"/>
        <v>1+2073,45115136926i</v>
      </c>
      <c r="BA518">
        <f t="shared" si="448"/>
        <v>2073.4513925130991</v>
      </c>
      <c r="BB518">
        <f t="shared" si="449"/>
        <v>1.5703140391259511</v>
      </c>
      <c r="BC518" s="41" t="str">
        <f t="shared" si="450"/>
        <v>-0,00176124798279325+0,0803418245866i</v>
      </c>
      <c r="BD518">
        <f t="shared" si="451"/>
        <v>-21.899079598358906</v>
      </c>
      <c r="BE518" s="43">
        <f t="shared" si="452"/>
        <v>91.255833012589449</v>
      </c>
      <c r="BF518" s="41" t="str">
        <f t="shared" si="453"/>
        <v>-0,0504419119686133-0,0641325771808943i</v>
      </c>
      <c r="BG518" s="20">
        <f t="shared" si="454"/>
        <v>-21.766970484193155</v>
      </c>
      <c r="BH518" s="43">
        <f t="shared" si="455"/>
        <v>-128.1859557225703</v>
      </c>
      <c r="BI518" s="41" t="str">
        <f t="shared" si="460"/>
        <v>0,37126562653205+0,0513174022806661i</v>
      </c>
      <c r="BJ518" s="20">
        <f t="shared" si="456"/>
        <v>-8.5241134340529108</v>
      </c>
      <c r="BK518" s="43">
        <f t="shared" si="461"/>
        <v>7.8697217005318496</v>
      </c>
      <c r="BL518">
        <f t="shared" si="457"/>
        <v>-21.766970484193155</v>
      </c>
      <c r="BM518" s="43">
        <f t="shared" si="458"/>
        <v>-128.1859557225703</v>
      </c>
    </row>
    <row r="519" spans="14:65" x14ac:dyDescent="0.25">
      <c r="N519" s="9">
        <v>1</v>
      </c>
      <c r="O519" s="34">
        <f>10^(6+(N519/100))</f>
        <v>1023292.9922807553</v>
      </c>
      <c r="P519" s="33" t="str">
        <f t="shared" si="411"/>
        <v>54,631621870174</v>
      </c>
      <c r="Q519" s="4" t="str">
        <f t="shared" si="412"/>
        <v>1+28700,822362669i</v>
      </c>
      <c r="R519" s="4">
        <f t="shared" si="424"/>
        <v>28700.8223800901</v>
      </c>
      <c r="S519" s="4">
        <f t="shared" si="425"/>
        <v>1.5707614845876958</v>
      </c>
      <c r="T519" s="4" t="str">
        <f t="shared" si="413"/>
        <v>1+97,2146371498588i</v>
      </c>
      <c r="U519" s="4">
        <f t="shared" si="426"/>
        <v>97.21978027221985</v>
      </c>
      <c r="V519" s="4">
        <f t="shared" si="427"/>
        <v>1.5605101727676158</v>
      </c>
      <c r="W519" t="str">
        <f t="shared" si="414"/>
        <v>1-25,5853162510696i</v>
      </c>
      <c r="X519" s="4">
        <f t="shared" si="428"/>
        <v>25.604851252589736</v>
      </c>
      <c r="Y519" s="4">
        <f t="shared" si="429"/>
        <v>-1.5317312925334379</v>
      </c>
      <c r="Z519" t="str">
        <f t="shared" si="415"/>
        <v>-3,18851419220362+3,51521551776859i</v>
      </c>
      <c r="AA519" s="4">
        <f t="shared" si="430"/>
        <v>4.7458785161701096</v>
      </c>
      <c r="AB519" s="4">
        <f t="shared" si="431"/>
        <v>2.3074987542373591</v>
      </c>
      <c r="AC519" s="47" t="str">
        <f t="shared" si="432"/>
        <v>-0,758530348799979+0,64919897932366i</v>
      </c>
      <c r="AD519" s="20">
        <f t="shared" si="433"/>
        <v>-1.3799437500112475E-2</v>
      </c>
      <c r="AE519" s="43">
        <f t="shared" si="434"/>
        <v>139.44096483845652</v>
      </c>
      <c r="AF519" t="str">
        <f t="shared" si="416"/>
        <v>171,265703090588</v>
      </c>
      <c r="AG519" t="str">
        <f t="shared" si="417"/>
        <v>1+28426,1549922185i</v>
      </c>
      <c r="AH519">
        <f t="shared" si="435"/>
        <v>28426.155009807931</v>
      </c>
      <c r="AI519">
        <f t="shared" si="436"/>
        <v>1.5707611479253005</v>
      </c>
      <c r="AJ519" t="str">
        <f t="shared" si="418"/>
        <v>1+97,2146371498588i</v>
      </c>
      <c r="AK519">
        <f t="shared" si="437"/>
        <v>97.21978027221985</v>
      </c>
      <c r="AL519">
        <f t="shared" si="438"/>
        <v>1.5605101727676158</v>
      </c>
      <c r="AM519" t="str">
        <f t="shared" si="419"/>
        <v>1-8,08328525525541i</v>
      </c>
      <c r="AN519">
        <f t="shared" si="439"/>
        <v>8.1449064155353863</v>
      </c>
      <c r="AO519">
        <f t="shared" si="440"/>
        <v>-1.4477096423763716</v>
      </c>
      <c r="AP519" s="41" t="str">
        <f t="shared" si="441"/>
        <v>0,537177262808452-4,74048124486102i</v>
      </c>
      <c r="AQ519">
        <f t="shared" si="442"/>
        <v>13.571860313670104</v>
      </c>
      <c r="AR519" s="43">
        <f t="shared" si="443"/>
        <v>-83.534990080988678</v>
      </c>
      <c r="AS519" t="str">
        <f t="shared" si="420"/>
        <v>-0,0000166666666666667</v>
      </c>
      <c r="AT519" t="str">
        <f t="shared" si="421"/>
        <v>0,00985648404436068i</v>
      </c>
      <c r="AU519">
        <f t="shared" si="444"/>
        <v>9.8564840443606805E-3</v>
      </c>
      <c r="AV519">
        <f t="shared" si="445"/>
        <v>1.5707963267948966</v>
      </c>
      <c r="AW519" t="str">
        <f t="shared" si="422"/>
        <v>1+45,6736367189021i</v>
      </c>
      <c r="AX519">
        <f t="shared" si="446"/>
        <v>45.684582641524074</v>
      </c>
      <c r="AY519">
        <f t="shared" si="447"/>
        <v>1.5489053557989521</v>
      </c>
      <c r="AZ519" t="str">
        <f t="shared" si="423"/>
        <v>1+2121,74803303263i</v>
      </c>
      <c r="BA519">
        <f t="shared" si="448"/>
        <v>2121.7482686873659</v>
      </c>
      <c r="BB519">
        <f t="shared" si="449"/>
        <v>1.5703250173319505</v>
      </c>
      <c r="BC519" s="41" t="str">
        <f t="shared" si="450"/>
        <v>-0,00168201674661222+0,0785147561113322i</v>
      </c>
      <c r="BD519">
        <f t="shared" si="451"/>
        <v>-22.098981576540936</v>
      </c>
      <c r="BE519" s="43">
        <f t="shared" si="452"/>
        <v>91.227256204439513</v>
      </c>
      <c r="BF519" s="41" t="str">
        <f t="shared" si="453"/>
        <v>-0,0496958387798278-0,0606477888941801i</v>
      </c>
      <c r="BG519" s="20">
        <f t="shared" si="454"/>
        <v>-22.112781014041047</v>
      </c>
      <c r="BH519" s="43">
        <f t="shared" si="455"/>
        <v>-129.33177895710395</v>
      </c>
      <c r="BI519" s="41" t="str">
        <f t="shared" si="460"/>
        <v>0,371294187638664+0,050149910618816i</v>
      </c>
      <c r="BJ519" s="20">
        <f t="shared" si="456"/>
        <v>-8.5271212628708408</v>
      </c>
      <c r="BK519" s="43">
        <f t="shared" si="461"/>
        <v>7.6922661234508629</v>
      </c>
      <c r="BL519">
        <f t="shared" si="457"/>
        <v>-22.112781014041047</v>
      </c>
      <c r="BM519" s="43">
        <f t="shared" si="458"/>
        <v>-129.33177895710395</v>
      </c>
    </row>
    <row r="520" spans="14:65" x14ac:dyDescent="0.25">
      <c r="N520" s="9">
        <v>2</v>
      </c>
      <c r="O520" s="34">
        <f t="shared" ref="O520:O560" si="462">10^(6+(N520/100))</f>
        <v>1047128.5480509007</v>
      </c>
      <c r="P520" s="33" t="str">
        <f t="shared" si="411"/>
        <v>54,631621870174</v>
      </c>
      <c r="Q520" s="4" t="str">
        <f t="shared" si="412"/>
        <v>1+29369,3503964139i</v>
      </c>
      <c r="R520" s="4">
        <f t="shared" si="424"/>
        <v>29369.350413438449</v>
      </c>
      <c r="S520" s="4">
        <f t="shared" si="425"/>
        <v>1.5707622776931591</v>
      </c>
      <c r="T520" s="4" t="str">
        <f t="shared" si="413"/>
        <v>1+99,4790569425667i</v>
      </c>
      <c r="U520" s="4">
        <f t="shared" si="426"/>
        <v>99.48408299915333</v>
      </c>
      <c r="V520" s="4">
        <f t="shared" si="427"/>
        <v>1.5607442982633244</v>
      </c>
      <c r="W520" t="str">
        <f t="shared" si="414"/>
        <v>1-26,1812748250064i</v>
      </c>
      <c r="X520" s="4">
        <f t="shared" si="428"/>
        <v>26.200365483376636</v>
      </c>
      <c r="Y520" s="4">
        <f t="shared" si="429"/>
        <v>-1.5326196474752165</v>
      </c>
      <c r="Z520" t="str">
        <f t="shared" si="415"/>
        <v>-3,38591278457276+3,59709540568916i</v>
      </c>
      <c r="AA520" s="4">
        <f t="shared" si="430"/>
        <v>4.9399899536702829</v>
      </c>
      <c r="AB520" s="4">
        <f t="shared" si="431"/>
        <v>2.3259613488122621</v>
      </c>
      <c r="AC520" s="47" t="str">
        <f t="shared" si="432"/>
        <v>-0,733335287521848+0,652331564110594i</v>
      </c>
      <c r="AD520" s="20">
        <f t="shared" si="433"/>
        <v>-0.16230724344680214</v>
      </c>
      <c r="AE520" s="43">
        <f t="shared" si="434"/>
        <v>138.34560606276463</v>
      </c>
      <c r="AF520" t="str">
        <f t="shared" si="416"/>
        <v>171,265703090588</v>
      </c>
      <c r="AG520" t="str">
        <f t="shared" si="417"/>
        <v>1+29088,2852010238i</v>
      </c>
      <c r="AH520">
        <f t="shared" si="435"/>
        <v>29088.285218212848</v>
      </c>
      <c r="AI520">
        <f t="shared" si="436"/>
        <v>1.5707619486941355</v>
      </c>
      <c r="AJ520" t="str">
        <f t="shared" si="418"/>
        <v>1+99,4790569425667i</v>
      </c>
      <c r="AK520">
        <f t="shared" si="437"/>
        <v>99.48408299915333</v>
      </c>
      <c r="AL520">
        <f t="shared" si="438"/>
        <v>1.5607442982633244</v>
      </c>
      <c r="AM520" t="str">
        <f t="shared" si="419"/>
        <v>1-8,2715691563092i</v>
      </c>
      <c r="AN520">
        <f t="shared" si="439"/>
        <v>8.3317979036703527</v>
      </c>
      <c r="AO520">
        <f t="shared" si="440"/>
        <v>-1.4504841691451964</v>
      </c>
      <c r="AP520" s="41" t="str">
        <f t="shared" si="441"/>
        <v>0,537177253299033-4,85062462525906i</v>
      </c>
      <c r="AQ520">
        <f t="shared" si="442"/>
        <v>13.768892203199218</v>
      </c>
      <c r="AR520" s="43">
        <f t="shared" si="443"/>
        <v>-83.68059023288248</v>
      </c>
      <c r="AS520" t="str">
        <f t="shared" si="420"/>
        <v>-0,0000166666666666667</v>
      </c>
      <c r="AT520" t="str">
        <f t="shared" si="421"/>
        <v>0,0100860710511213i</v>
      </c>
      <c r="AU520">
        <f t="shared" si="444"/>
        <v>1.00860710511213E-2</v>
      </c>
      <c r="AV520">
        <f t="shared" si="445"/>
        <v>1.5707963267948966</v>
      </c>
      <c r="AW520" t="str">
        <f t="shared" si="422"/>
        <v>1+46,7375123864294i</v>
      </c>
      <c r="AX520">
        <f t="shared" si="446"/>
        <v>46.74820920710912</v>
      </c>
      <c r="AY520">
        <f t="shared" si="447"/>
        <v>1.549403501346998</v>
      </c>
      <c r="AZ520" t="str">
        <f t="shared" si="423"/>
        <v>1+2171,16989358776i</v>
      </c>
      <c r="BA520">
        <f t="shared" si="448"/>
        <v>2171.1701238783398</v>
      </c>
      <c r="BB520">
        <f t="shared" si="449"/>
        <v>1.570335745643582</v>
      </c>
      <c r="BC520" s="41" t="str">
        <f t="shared" si="450"/>
        <v>-0,00160634816309977+0,0767291610780502i</v>
      </c>
      <c r="BD520">
        <f t="shared" si="451"/>
        <v>-22.298887964364241</v>
      </c>
      <c r="BE520" s="43">
        <f t="shared" si="452"/>
        <v>91.199329253931054</v>
      </c>
      <c r="BF520" s="41" t="str">
        <f t="shared" si="453"/>
        <v>-0,0488748618668912-0,0573160730102232i</v>
      </c>
      <c r="BG520" s="20">
        <f t="shared" si="454"/>
        <v>-22.461195207811041</v>
      </c>
      <c r="BH520" s="43">
        <f t="shared" si="455"/>
        <v>-130.4550646833043</v>
      </c>
      <c r="BI520" s="41" t="str">
        <f t="shared" si="460"/>
        <v>0,371321464506563+0,0490089519525175i</v>
      </c>
      <c r="BJ520" s="20">
        <f t="shared" si="456"/>
        <v>-8.5299957611650328</v>
      </c>
      <c r="BK520" s="43">
        <f t="shared" si="461"/>
        <v>7.5187390210485843</v>
      </c>
      <c r="BL520">
        <f t="shared" si="457"/>
        <v>-22.461195207811041</v>
      </c>
      <c r="BM520" s="43">
        <f t="shared" si="458"/>
        <v>-130.4550646833043</v>
      </c>
    </row>
    <row r="521" spans="14:65" x14ac:dyDescent="0.25">
      <c r="N521" s="9">
        <v>3</v>
      </c>
      <c r="O521" s="34">
        <f t="shared" si="462"/>
        <v>1071519.3052376076</v>
      </c>
      <c r="P521" s="33" t="str">
        <f t="shared" si="411"/>
        <v>54,631621870174</v>
      </c>
      <c r="Q521" s="4" t="str">
        <f t="shared" si="412"/>
        <v>1+30053,4504484883i</v>
      </c>
      <c r="R521" s="4">
        <f t="shared" si="424"/>
        <v>30053.450465125323</v>
      </c>
      <c r="S521" s="4">
        <f t="shared" si="425"/>
        <v>1.570763052745338</v>
      </c>
      <c r="T521" s="4" t="str">
        <f t="shared" si="413"/>
        <v>1+101,796221848027i</v>
      </c>
      <c r="U521" s="4">
        <f t="shared" si="426"/>
        <v>101.80113350318223</v>
      </c>
      <c r="V521" s="4">
        <f t="shared" si="427"/>
        <v>1.560973095476992</v>
      </c>
      <c r="W521" t="str">
        <f t="shared" si="414"/>
        <v>1-26,7911150574056i</v>
      </c>
      <c r="X521" s="4">
        <f t="shared" si="428"/>
        <v>26.809771465253956</v>
      </c>
      <c r="Y521" s="4">
        <f t="shared" si="429"/>
        <v>-1.533487839246553</v>
      </c>
      <c r="Z521" t="str">
        <f t="shared" si="415"/>
        <v>-3,59261448598754+3,68088252120701i</v>
      </c>
      <c r="AA521" s="4">
        <f t="shared" si="430"/>
        <v>5.1435177631514781</v>
      </c>
      <c r="AB521" s="4">
        <f t="shared" si="431"/>
        <v>2.3440595154509971</v>
      </c>
      <c r="AC521" s="47" t="str">
        <f t="shared" si="432"/>
        <v>-0,708558992366802+0,654481319620304i</v>
      </c>
      <c r="AD521" s="20">
        <f t="shared" si="433"/>
        <v>-0.31329531171811542</v>
      </c>
      <c r="AE521" s="43">
        <f t="shared" si="434"/>
        <v>137.27197848062394</v>
      </c>
      <c r="AF521" t="str">
        <f t="shared" si="416"/>
        <v>171,265703090588</v>
      </c>
      <c r="AG521" t="str">
        <f t="shared" si="417"/>
        <v>1+29765,8384036716i</v>
      </c>
      <c r="AH521">
        <f t="shared" si="435"/>
        <v>29765.838420469379</v>
      </c>
      <c r="AI521">
        <f t="shared" si="436"/>
        <v>1.5707627312352466</v>
      </c>
      <c r="AJ521" t="str">
        <f t="shared" si="418"/>
        <v>1+101,796221848027i</v>
      </c>
      <c r="AK521">
        <f t="shared" si="437"/>
        <v>101.80113350318223</v>
      </c>
      <c r="AL521">
        <f t="shared" si="438"/>
        <v>1.560973095476992</v>
      </c>
      <c r="AM521" t="str">
        <f t="shared" si="419"/>
        <v>1-8,46423875281683i</v>
      </c>
      <c r="AN521">
        <f t="shared" si="439"/>
        <v>8.5231061042724434</v>
      </c>
      <c r="AO521">
        <f t="shared" si="440"/>
        <v>-1.4531973397211693</v>
      </c>
      <c r="AP521" s="41" t="str">
        <f t="shared" si="441"/>
        <v>0,537177244217611-4,96333987103902i</v>
      </c>
      <c r="AQ521">
        <f t="shared" si="442"/>
        <v>13.966055811066733</v>
      </c>
      <c r="AR521" s="43">
        <f t="shared" si="443"/>
        <v>-83.822979177580237</v>
      </c>
      <c r="AS521" t="str">
        <f t="shared" si="420"/>
        <v>-0,0000166666666666667</v>
      </c>
      <c r="AT521" t="str">
        <f t="shared" si="421"/>
        <v>0,0103210058262583i</v>
      </c>
      <c r="AU521">
        <f t="shared" si="444"/>
        <v>1.0321005826258301E-2</v>
      </c>
      <c r="AV521">
        <f t="shared" si="445"/>
        <v>1.5707963267948966</v>
      </c>
      <c r="AW521" t="str">
        <f t="shared" si="422"/>
        <v>1+47,8261689016681i</v>
      </c>
      <c r="AX521">
        <f t="shared" si="446"/>
        <v>47.836622286809558</v>
      </c>
      <c r="AY521">
        <f t="shared" si="447"/>
        <v>1.5498903179790451</v>
      </c>
      <c r="AZ521" t="str">
        <f t="shared" si="423"/>
        <v>1+2221,74293715931i</v>
      </c>
      <c r="BA521">
        <f t="shared" si="448"/>
        <v>2221.7431622078366</v>
      </c>
      <c r="BB521">
        <f t="shared" si="449"/>
        <v>1.5703462297491289</v>
      </c>
      <c r="BC521" s="41" t="str">
        <f t="shared" si="450"/>
        <v>-0,0015340821801922+0,0749841031516013i</v>
      </c>
      <c r="BD521">
        <f t="shared" si="451"/>
        <v>-22.498798563544213</v>
      </c>
      <c r="BE521" s="43">
        <f t="shared" si="452"/>
        <v>91.172037410517774</v>
      </c>
      <c r="BF521" s="41" t="str">
        <f t="shared" si="453"/>
        <v>-0,0479887070574002-0,0541346887023251i</v>
      </c>
      <c r="BG521" s="20">
        <f t="shared" si="454"/>
        <v>-22.812093875262324</v>
      </c>
      <c r="BH521" s="43">
        <f t="shared" si="455"/>
        <v>-131.55598410885833</v>
      </c>
      <c r="BI521" s="41" t="str">
        <f t="shared" si="460"/>
        <v>0,371347514828486+0,0478939251415047i</v>
      </c>
      <c r="BJ521" s="20">
        <f t="shared" si="456"/>
        <v>-8.5327427524774855</v>
      </c>
      <c r="BK521" s="43">
        <f t="shared" si="461"/>
        <v>7.3490582329375531</v>
      </c>
      <c r="BL521">
        <f t="shared" si="457"/>
        <v>-22.812093875262324</v>
      </c>
      <c r="BM521" s="43">
        <f t="shared" si="458"/>
        <v>-131.55598410885833</v>
      </c>
    </row>
    <row r="522" spans="14:65" x14ac:dyDescent="0.25">
      <c r="N522" s="9">
        <v>4</v>
      </c>
      <c r="O522" s="34">
        <f t="shared" si="462"/>
        <v>1096478.196143186</v>
      </c>
      <c r="P522" s="33" t="str">
        <f t="shared" si="411"/>
        <v>54,631621870174</v>
      </c>
      <c r="Q522" s="4" t="str">
        <f t="shared" si="412"/>
        <v>1+30753,485237795i</v>
      </c>
      <c r="R522" s="4">
        <f t="shared" si="424"/>
        <v>30753.485254053317</v>
      </c>
      <c r="S522" s="4">
        <f t="shared" si="425"/>
        <v>1.5707638101551755</v>
      </c>
      <c r="T522" s="4" t="str">
        <f t="shared" si="413"/>
        <v>1+104,167360457743i</v>
      </c>
      <c r="U522" s="4">
        <f t="shared" si="426"/>
        <v>104.17216031518862</v>
      </c>
      <c r="V522" s="4">
        <f t="shared" si="427"/>
        <v>1.561196685624058</v>
      </c>
      <c r="W522" t="str">
        <f t="shared" si="414"/>
        <v>1-27,4151602936305i</v>
      </c>
      <c r="X522" s="4">
        <f t="shared" si="428"/>
        <v>27.433392315305348</v>
      </c>
      <c r="Y522" s="4">
        <f t="shared" si="429"/>
        <v>-1.5343363229359834</v>
      </c>
      <c r="Z522" t="str">
        <f t="shared" si="415"/>
        <v>-3,80905773846967+3,76662128935985i</v>
      </c>
      <c r="AA522" s="4">
        <f t="shared" si="430"/>
        <v>5.3568980569406524</v>
      </c>
      <c r="AB522" s="4">
        <f t="shared" si="431"/>
        <v>2.3617961009648476</v>
      </c>
      <c r="AC522" s="47" t="str">
        <f t="shared" si="432"/>
        <v>-0,684234709721807+0,655701457266447i</v>
      </c>
      <c r="AD522" s="20">
        <f t="shared" si="433"/>
        <v>-0.46664888091226497</v>
      </c>
      <c r="AE522" s="43">
        <f t="shared" si="434"/>
        <v>136.21989982869798</v>
      </c>
      <c r="AF522" t="str">
        <f t="shared" si="416"/>
        <v>171,265703090588</v>
      </c>
      <c r="AG522" t="str">
        <f t="shared" si="417"/>
        <v>1+30459,1738478385i</v>
      </c>
      <c r="AH522">
        <f t="shared" si="435"/>
        <v>30459.173864253917</v>
      </c>
      <c r="AI522">
        <f t="shared" si="436"/>
        <v>1.5707634959635473</v>
      </c>
      <c r="AJ522" t="str">
        <f t="shared" si="418"/>
        <v>1+104,167360457743i</v>
      </c>
      <c r="AK522">
        <f t="shared" si="437"/>
        <v>104.17216031518862</v>
      </c>
      <c r="AL522">
        <f t="shared" si="438"/>
        <v>1.561196685624058</v>
      </c>
      <c r="AM522" t="str">
        <f t="shared" si="419"/>
        <v>1-8,66139620074865i</v>
      </c>
      <c r="AN522">
        <f t="shared" si="439"/>
        <v>8.7189325118584975</v>
      </c>
      <c r="AO522">
        <f t="shared" si="440"/>
        <v>-1.4558504327977522</v>
      </c>
      <c r="AP522" s="41" t="str">
        <f t="shared" si="441"/>
        <v>0,53717723554492-5,07868674531614i</v>
      </c>
      <c r="AQ522">
        <f t="shared" si="442"/>
        <v>14.163345371177325</v>
      </c>
      <c r="AR522" s="43">
        <f t="shared" si="443"/>
        <v>-83.962223257460323</v>
      </c>
      <c r="AS522" t="str">
        <f t="shared" si="420"/>
        <v>-0,0000166666666666667</v>
      </c>
      <c r="AT522" t="str">
        <f t="shared" si="421"/>
        <v>0,0105614129352989i</v>
      </c>
      <c r="AU522">
        <f t="shared" si="444"/>
        <v>1.05614129352989E-2</v>
      </c>
      <c r="AV522">
        <f t="shared" si="445"/>
        <v>1.5707963267948966</v>
      </c>
      <c r="AW522" t="str">
        <f t="shared" si="422"/>
        <v>1+48,9401834847127i</v>
      </c>
      <c r="AX522">
        <f t="shared" si="446"/>
        <v>48.950398971993536</v>
      </c>
      <c r="AY522">
        <f t="shared" si="447"/>
        <v>1.5503660628882197</v>
      </c>
      <c r="AZ522" t="str">
        <f t="shared" si="423"/>
        <v>1+2273,49397824438i</v>
      </c>
      <c r="BA522">
        <f t="shared" si="448"/>
        <v>2273.4941981701772</v>
      </c>
      <c r="BB522">
        <f t="shared" si="449"/>
        <v>1.5703564752073933</v>
      </c>
      <c r="BC522" s="41" t="str">
        <f t="shared" si="450"/>
        <v>-0,00146506592353663+0,073278666796284i</v>
      </c>
      <c r="BD522">
        <f t="shared" si="451"/>
        <v>-22.6987131847042</v>
      </c>
      <c r="BE522" s="43">
        <f t="shared" si="452"/>
        <v>91.145366256614977</v>
      </c>
      <c r="BF522" s="41" t="str">
        <f t="shared" si="453"/>
        <v>-0,0470464796479514-0,0511004531652108i</v>
      </c>
      <c r="BG522" s="20">
        <f t="shared" si="454"/>
        <v>-23.165362065616463</v>
      </c>
      <c r="BH522" s="43">
        <f t="shared" si="455"/>
        <v>-132.63473391468702</v>
      </c>
      <c r="BI522" s="41" t="str">
        <f t="shared" si="460"/>
        <v>0,371372393710029+0,046804242540925i</v>
      </c>
      <c r="BJ522" s="20">
        <f t="shared" si="456"/>
        <v>-8.5353678135268769</v>
      </c>
      <c r="BK522" s="43">
        <f t="shared" si="461"/>
        <v>7.183142999154664</v>
      </c>
      <c r="BL522">
        <f t="shared" si="457"/>
        <v>-23.165362065616463</v>
      </c>
      <c r="BM522" s="43">
        <f t="shared" si="458"/>
        <v>-132.63473391468702</v>
      </c>
    </row>
    <row r="523" spans="14:65" x14ac:dyDescent="0.25">
      <c r="N523" s="9">
        <v>5</v>
      </c>
      <c r="O523" s="34">
        <f t="shared" si="462"/>
        <v>1122018.4543019643</v>
      </c>
      <c r="P523" s="33" t="str">
        <f t="shared" si="411"/>
        <v>54,631621870174</v>
      </c>
      <c r="Q523" s="4" t="str">
        <f t="shared" si="412"/>
        <v>1+31469,8259320452i</v>
      </c>
      <c r="R523" s="4">
        <f t="shared" si="424"/>
        <v>31469.825947933434</v>
      </c>
      <c r="S523" s="4">
        <f t="shared" si="425"/>
        <v>1.5707645503242602</v>
      </c>
      <c r="T523" s="4" t="str">
        <f t="shared" si="413"/>
        <v>1+106,593729980791i</v>
      </c>
      <c r="U523" s="4">
        <f t="shared" si="426"/>
        <v>106.59842058500578</v>
      </c>
      <c r="V523" s="4">
        <f t="shared" si="427"/>
        <v>1.5614151871655033</v>
      </c>
      <c r="W523" t="str">
        <f t="shared" si="414"/>
        <v>1-28,0537414107257i</v>
      </c>
      <c r="X523" s="4">
        <f t="shared" si="428"/>
        <v>28.071558687395079</v>
      </c>
      <c r="Y523" s="4">
        <f t="shared" si="429"/>
        <v>-1.5351655435312475</v>
      </c>
      <c r="Z523" t="str">
        <f t="shared" si="415"/>
        <v>-4,03570164717668+3,85435716997743i</v>
      </c>
      <c r="AA523" s="4">
        <f t="shared" si="430"/>
        <v>5.5805875119722819</v>
      </c>
      <c r="AB523" s="4">
        <f t="shared" si="431"/>
        <v>2.3791743638713769</v>
      </c>
      <c r="AC523" s="47" t="str">
        <f t="shared" si="432"/>
        <v>-0,6603911577909+0,656044867345402i</v>
      </c>
      <c r="AD523" s="20">
        <f t="shared" si="433"/>
        <v>-0.62225744677557326</v>
      </c>
      <c r="AE523" s="43">
        <f t="shared" si="434"/>
        <v>135.18916467606826</v>
      </c>
      <c r="AF523" t="str">
        <f t="shared" si="416"/>
        <v>171,265703090588</v>
      </c>
      <c r="AG523" t="str">
        <f t="shared" si="417"/>
        <v>1+31168,6591491543i</v>
      </c>
      <c r="AH523">
        <f t="shared" si="435"/>
        <v>31168.659165196055</v>
      </c>
      <c r="AI523">
        <f t="shared" si="436"/>
        <v>1.5707642432845066</v>
      </c>
      <c r="AJ523" t="str">
        <f t="shared" si="418"/>
        <v>1+106,593729980791i</v>
      </c>
      <c r="AK523">
        <f t="shared" si="437"/>
        <v>106.59842058500578</v>
      </c>
      <c r="AL523">
        <f t="shared" si="438"/>
        <v>1.5614151871655033</v>
      </c>
      <c r="AM523" t="str">
        <f t="shared" si="419"/>
        <v>1-8,86314603559324i</v>
      </c>
      <c r="AN523">
        <f t="shared" si="439"/>
        <v>8.9193810126180946</v>
      </c>
      <c r="AO523">
        <f t="shared" si="440"/>
        <v>-1.4584447056005287</v>
      </c>
      <c r="AP523" s="41" t="str">
        <f t="shared" si="441"/>
        <v>0,53717722726256-5,19672640652996i</v>
      </c>
      <c r="AQ523">
        <f t="shared" si="442"/>
        <v>14.36075536296228</v>
      </c>
      <c r="AR523" s="43">
        <f t="shared" si="443"/>
        <v>-84.09838774216</v>
      </c>
      <c r="AS523" t="str">
        <f t="shared" si="420"/>
        <v>-0,0000166666666666667</v>
      </c>
      <c r="AT523" t="str">
        <f t="shared" si="421"/>
        <v>0,0108074198452747i</v>
      </c>
      <c r="AU523">
        <f t="shared" si="444"/>
        <v>1.08074198452747E-2</v>
      </c>
      <c r="AV523">
        <f t="shared" si="445"/>
        <v>1.5707963267948966</v>
      </c>
      <c r="AW523" t="str">
        <f t="shared" si="422"/>
        <v>1+50,0801468008408i</v>
      </c>
      <c r="AX523">
        <f t="shared" si="446"/>
        <v>50.090129802125333</v>
      </c>
      <c r="AY523">
        <f t="shared" si="447"/>
        <v>1.5508309874588604</v>
      </c>
      <c r="AZ523" t="str">
        <f t="shared" si="423"/>
        <v>1+2326,45045592997i</v>
      </c>
      <c r="BA523">
        <f t="shared" si="448"/>
        <v>2326.4506708496451</v>
      </c>
      <c r="BB523">
        <f t="shared" si="449"/>
        <v>1.5703664874506442</v>
      </c>
      <c r="BC523" s="41" t="str">
        <f t="shared" si="450"/>
        <v>-0,00139915337570918+0,0716119568366137i</v>
      </c>
      <c r="BD523">
        <f t="shared" si="451"/>
        <v>-22.898631646976689</v>
      </c>
      <c r="BE523" s="43">
        <f t="shared" si="452"/>
        <v>91.11930170020706</v>
      </c>
      <c r="BF523" s="41" t="str">
        <f t="shared" si="453"/>
        <v>-0,0460566682055093-0,0482098104777663i</v>
      </c>
      <c r="BG523" s="20">
        <f t="shared" si="454"/>
        <v>-23.520889093752256</v>
      </c>
      <c r="BH523" s="43">
        <f t="shared" si="455"/>
        <v>-133.69153362372467</v>
      </c>
      <c r="BI523" s="41" t="str">
        <f t="shared" si="460"/>
        <v>0,371396153785236+0,0457393297066717i</v>
      </c>
      <c r="BJ523" s="20">
        <f t="shared" si="456"/>
        <v>-8.5378762840143985</v>
      </c>
      <c r="BK523" s="43">
        <f t="shared" si="461"/>
        <v>7.0209139580470552</v>
      </c>
      <c r="BL523">
        <f t="shared" si="457"/>
        <v>-23.520889093752256</v>
      </c>
      <c r="BM523" s="43">
        <f t="shared" si="458"/>
        <v>-133.69153362372467</v>
      </c>
    </row>
    <row r="524" spans="14:65" x14ac:dyDescent="0.25">
      <c r="N524" s="9">
        <v>6</v>
      </c>
      <c r="O524" s="34">
        <f t="shared" si="462"/>
        <v>1148153.6214968837</v>
      </c>
      <c r="P524" s="33" t="str">
        <f t="shared" si="411"/>
        <v>54,631621870174</v>
      </c>
      <c r="Q524" s="4" t="str">
        <f t="shared" si="412"/>
        <v>1+32202,852344557i</v>
      </c>
      <c r="R524" s="4">
        <f t="shared" si="424"/>
        <v>32202.852360083572</v>
      </c>
      <c r="S524" s="4">
        <f t="shared" si="425"/>
        <v>1.5707652736450397</v>
      </c>
      <c r="T524" s="4" t="str">
        <f t="shared" si="413"/>
        <v>1+109,076616910411i</v>
      </c>
      <c r="U524" s="4">
        <f t="shared" si="426"/>
        <v>109.08120074797746</v>
      </c>
      <c r="V524" s="4">
        <f t="shared" si="427"/>
        <v>1.5616287158702351</v>
      </c>
      <c r="W524" t="str">
        <f t="shared" si="414"/>
        <v>1-28,707196992852i</v>
      </c>
      <c r="X524" s="4">
        <f t="shared" si="428"/>
        <v>28.724608947493277</v>
      </c>
      <c r="Y524" s="4">
        <f t="shared" si="429"/>
        <v>-1.5359759361320537</v>
      </c>
      <c r="Z524" t="str">
        <f t="shared" si="415"/>
        <v>-4,27302695422564+3,94413668178499i</v>
      </c>
      <c r="AA524" s="4">
        <f t="shared" si="430"/>
        <v>5.81506436044699</v>
      </c>
      <c r="AB524" s="4">
        <f t="shared" si="431"/>
        <v>2.3961979305474439</v>
      </c>
      <c r="AC524" s="47" t="str">
        <f t="shared" si="432"/>
        <v>-0,637052790708111+0,655563818409263i</v>
      </c>
      <c r="AD524" s="20">
        <f t="shared" si="433"/>
        <v>-0.78001476096826161</v>
      </c>
      <c r="AE524" s="43">
        <f t="shared" si="434"/>
        <v>134.17954692785327</v>
      </c>
      <c r="AF524" t="str">
        <f t="shared" si="416"/>
        <v>171,265703090588</v>
      </c>
      <c r="AG524" t="str">
        <f t="shared" si="417"/>
        <v>1+31894,670486117i</v>
      </c>
      <c r="AH524">
        <f t="shared" si="435"/>
        <v>31894.670501793596</v>
      </c>
      <c r="AI524">
        <f t="shared" si="436"/>
        <v>1.5707649735943641</v>
      </c>
      <c r="AJ524" t="str">
        <f t="shared" si="418"/>
        <v>1+109,076616910411i</v>
      </c>
      <c r="AK524">
        <f t="shared" si="437"/>
        <v>109.08120074797746</v>
      </c>
      <c r="AL524">
        <f t="shared" si="438"/>
        <v>1.5616287158702351</v>
      </c>
      <c r="AM524" t="str">
        <f t="shared" si="419"/>
        <v>1-9,06959522778351i</v>
      </c>
      <c r="AN524">
        <f t="shared" si="439"/>
        <v>9.124557939748831</v>
      </c>
      <c r="AO524">
        <f t="shared" si="440"/>
        <v>-1.4609813938908718</v>
      </c>
      <c r="AP524" s="41" t="str">
        <f t="shared" si="441"/>
        <v>0,537177219352976-5,31752144087135i</v>
      </c>
      <c r="AQ524">
        <f t="shared" si="442"/>
        <v>14.558280501524273</v>
      </c>
      <c r="AR524" s="43">
        <f t="shared" si="443"/>
        <v>-84.231536825223444</v>
      </c>
      <c r="AS524" t="str">
        <f t="shared" si="420"/>
        <v>-0,0000166666666666667</v>
      </c>
      <c r="AT524" t="str">
        <f t="shared" si="421"/>
        <v>0,0110591569923055i</v>
      </c>
      <c r="AU524">
        <f t="shared" si="444"/>
        <v>1.10591569923055E-2</v>
      </c>
      <c r="AV524">
        <f t="shared" si="445"/>
        <v>1.5707963267948966</v>
      </c>
      <c r="AW524" t="str">
        <f t="shared" si="422"/>
        <v>1+51,2466632736918i</v>
      </c>
      <c r="AX524">
        <f t="shared" si="446"/>
        <v>51.256419077878938</v>
      </c>
      <c r="AY524">
        <f t="shared" si="447"/>
        <v>1.5512853373957025</v>
      </c>
      <c r="AZ524" t="str">
        <f t="shared" si="423"/>
        <v>1+2380,6404484415i</v>
      </c>
      <c r="BA524">
        <f t="shared" si="448"/>
        <v>2380.6406584690067</v>
      </c>
      <c r="BB524">
        <f t="shared" si="449"/>
        <v>1.5703762717874976</v>
      </c>
      <c r="BC524" s="41" t="str">
        <f t="shared" si="450"/>
        <v>-0,00133620506967171+0,0699830980258233i</v>
      </c>
      <c r="BD524">
        <f t="shared" si="451"/>
        <v>-23.098553777621014</v>
      </c>
      <c r="BE524" s="43">
        <f t="shared" si="452"/>
        <v>91.093829967611015</v>
      </c>
      <c r="BF524" s="41" t="str">
        <f t="shared" si="453"/>
        <v>-0,0450271537973258-0,0454588955974018i</v>
      </c>
      <c r="BG524" s="20">
        <f t="shared" si="454"/>
        <v>-23.878568538589278</v>
      </c>
      <c r="BH524" s="43">
        <f t="shared" si="455"/>
        <v>-134.72662310453575</v>
      </c>
      <c r="BI524" s="41" t="str">
        <f t="shared" si="460"/>
        <v>0,371418845327105+0,0446986251065988i</v>
      </c>
      <c r="BJ524" s="20">
        <f t="shared" si="456"/>
        <v>-8.5402732760967446</v>
      </c>
      <c r="BK524" s="43">
        <f t="shared" si="461"/>
        <v>6.8622931423875793</v>
      </c>
      <c r="BL524">
        <f t="shared" si="457"/>
        <v>-23.878568538589278</v>
      </c>
      <c r="BM524" s="43">
        <f t="shared" si="458"/>
        <v>-134.72662310453575</v>
      </c>
    </row>
    <row r="525" spans="14:65" x14ac:dyDescent="0.25">
      <c r="N525" s="9">
        <v>7</v>
      </c>
      <c r="O525" s="34">
        <f t="shared" si="462"/>
        <v>1174897.5549395324</v>
      </c>
      <c r="P525" s="33" t="str">
        <f t="shared" si="411"/>
        <v>54,631621870174</v>
      </c>
      <c r="Q525" s="4" t="str">
        <f t="shared" si="412"/>
        <v>1+32952,9531356371i</v>
      </c>
      <c r="R525" s="4">
        <f t="shared" si="424"/>
        <v>32952.953150810252</v>
      </c>
      <c r="S525" s="4">
        <f t="shared" si="425"/>
        <v>1.5707659805010279</v>
      </c>
      <c r="T525" s="4" t="str">
        <f t="shared" si="413"/>
        <v>1+111,617337706116i</v>
      </c>
      <c r="U525" s="4">
        <f t="shared" si="426"/>
        <v>111.62181720703684</v>
      </c>
      <c r="V525" s="4">
        <f t="shared" si="427"/>
        <v>1.5618373848760676</v>
      </c>
      <c r="W525" t="str">
        <f t="shared" si="414"/>
        <v>1-29,3758735108087i</v>
      </c>
      <c r="X525" s="4">
        <f t="shared" si="428"/>
        <v>29.392889353090691</v>
      </c>
      <c r="Y525" s="4">
        <f t="shared" si="429"/>
        <v>-1.5367679261591414</v>
      </c>
      <c r="Z525" t="str">
        <f t="shared" si="415"/>
        <v>-4,52153705841158+4,03600742706805i</v>
      </c>
      <c r="AA525" s="4">
        <f t="shared" si="430"/>
        <v>6.0608294252468209</v>
      </c>
      <c r="AB525" s="4">
        <f t="shared" si="431"/>
        <v>2.4128707538363465</v>
      </c>
      <c r="AC525" s="47" t="str">
        <f t="shared" si="432"/>
        <v>-0,614240069850946+0,65430969743147i</v>
      </c>
      <c r="AD525" s="20">
        <f t="shared" si="433"/>
        <v>-0.93981880546811791</v>
      </c>
      <c r="AE525" s="43">
        <f t="shared" si="434"/>
        <v>133.19080218834779</v>
      </c>
      <c r="AF525" t="str">
        <f t="shared" si="416"/>
        <v>171,265703090588</v>
      </c>
      <c r="AG525" t="str">
        <f t="shared" si="417"/>
        <v>1+32637,5927995474i</v>
      </c>
      <c r="AH525">
        <f t="shared" si="435"/>
        <v>32637.592814867156</v>
      </c>
      <c r="AI525">
        <f t="shared" si="436"/>
        <v>1.5707656872803397</v>
      </c>
      <c r="AJ525" t="str">
        <f t="shared" si="418"/>
        <v>1+111,617337706116i</v>
      </c>
      <c r="AK525">
        <f t="shared" si="437"/>
        <v>111.62181720703684</v>
      </c>
      <c r="AL525">
        <f t="shared" si="438"/>
        <v>1.5618373848760676</v>
      </c>
      <c r="AM525" t="str">
        <f t="shared" si="419"/>
        <v>1-9,28085323941386i</v>
      </c>
      <c r="AN525">
        <f t="shared" si="439"/>
        <v>9.3345721300731679</v>
      </c>
      <c r="AO525">
        <f t="shared" si="440"/>
        <v>-1.4634617119992732</v>
      </c>
      <c r="AP525" s="41" t="str">
        <f t="shared" si="441"/>
        <v>0,537177211799376-5,44113589546634i</v>
      </c>
      <c r="AQ525">
        <f t="shared" si="442"/>
        <v>14.755915728124631</v>
      </c>
      <c r="AR525" s="43">
        <f t="shared" si="443"/>
        <v>-84.361733622529599</v>
      </c>
      <c r="AS525" t="str">
        <f t="shared" si="420"/>
        <v>-0,0000166666666666667</v>
      </c>
      <c r="AT525" t="str">
        <f t="shared" si="421"/>
        <v>0,011316757850759i</v>
      </c>
      <c r="AU525">
        <f t="shared" si="444"/>
        <v>1.1316757850759E-2</v>
      </c>
      <c r="AV525">
        <f t="shared" si="445"/>
        <v>1.5707963267948966</v>
      </c>
      <c r="AW525" t="str">
        <f t="shared" si="422"/>
        <v>1+52,4403514057404i</v>
      </c>
      <c r="AX525">
        <f t="shared" si="446"/>
        <v>52.449885181547721</v>
      </c>
      <c r="AY525">
        <f t="shared" si="447"/>
        <v>1.55172935285032</v>
      </c>
      <c r="AZ525" t="str">
        <f t="shared" si="423"/>
        <v>1+2436,09268803031i</v>
      </c>
      <c r="BA525">
        <f t="shared" si="448"/>
        <v>2436.0928932770075</v>
      </c>
      <c r="BB525">
        <f t="shared" si="449"/>
        <v>1.5703858334057308</v>
      </c>
      <c r="BC525" s="41" t="str">
        <f t="shared" si="450"/>
        <v>-0,00127608779584345+0,0683912346220541i</v>
      </c>
      <c r="BD525">
        <f t="shared" si="451"/>
        <v>-23.298479411659116</v>
      </c>
      <c r="BE525" s="43">
        <f t="shared" si="452"/>
        <v>91.068937596392914</v>
      </c>
      <c r="BF525" s="41" t="str">
        <f t="shared" si="453"/>
        <v>-0,0439652237756661-0,0428435933510373i</v>
      </c>
      <c r="BG525" s="20">
        <f t="shared" si="454"/>
        <v>-24.238298217127227</v>
      </c>
      <c r="BH525" s="43">
        <f t="shared" si="455"/>
        <v>-135.74026021525927</v>
      </c>
      <c r="BI525" s="41" t="str">
        <f t="shared" si="460"/>
        <v>0,371440516353137+0,0436815798375223i</v>
      </c>
      <c r="BJ525" s="20">
        <f t="shared" si="456"/>
        <v>-8.5425636835344694</v>
      </c>
      <c r="BK525" s="43">
        <f t="shared" si="461"/>
        <v>6.7072039738633142</v>
      </c>
      <c r="BL525">
        <f t="shared" si="457"/>
        <v>-24.238298217127227</v>
      </c>
      <c r="BM525" s="43">
        <f t="shared" si="458"/>
        <v>-135.74026021525927</v>
      </c>
    </row>
    <row r="526" spans="14:65" x14ac:dyDescent="0.25">
      <c r="N526" s="9">
        <v>8</v>
      </c>
      <c r="O526" s="34">
        <f t="shared" si="462"/>
        <v>1202264.4346174158</v>
      </c>
      <c r="P526" s="33" t="str">
        <f t="shared" si="411"/>
        <v>54,631621870174</v>
      </c>
      <c r="Q526" s="4" t="str">
        <f t="shared" si="412"/>
        <v>1+33720,5260186536i</v>
      </c>
      <c r="R526" s="4">
        <f t="shared" si="424"/>
        <v>33720.526033481365</v>
      </c>
      <c r="S526" s="4">
        <f t="shared" si="425"/>
        <v>1.5707666712670096</v>
      </c>
      <c r="T526" s="4" t="str">
        <f t="shared" si="413"/>
        <v>1+114,217239491703i</v>
      </c>
      <c r="U526" s="4">
        <f t="shared" si="426"/>
        <v>114.2216170306875</v>
      </c>
      <c r="V526" s="4">
        <f t="shared" si="427"/>
        <v>1.5620413047493404</v>
      </c>
      <c r="W526" t="str">
        <f t="shared" si="414"/>
        <v>1-30,0601255057364i</v>
      </c>
      <c r="X526" s="4">
        <f t="shared" si="428"/>
        <v>30.076754236795971</v>
      </c>
      <c r="Y526" s="4">
        <f t="shared" si="429"/>
        <v>-1.5375419295596402</v>
      </c>
      <c r="Z526" t="str">
        <f t="shared" si="415"/>
        <v>-4,78175908298375+4,13001811691181i</v>
      </c>
      <c r="AA526" s="4">
        <f t="shared" si="430"/>
        <v>6.3184072022715787</v>
      </c>
      <c r="AB526" s="4">
        <f t="shared" si="431"/>
        <v>2.4291970741611495</v>
      </c>
      <c r="AC526" s="47" t="str">
        <f t="shared" si="432"/>
        <v>-0,59196973808087+0,652332788321184i</v>
      </c>
      <c r="AD526" s="20">
        <f t="shared" si="433"/>
        <v>-1.1015717458806669</v>
      </c>
      <c r="AE526" s="43">
        <f t="shared" si="434"/>
        <v>132.22266998070245</v>
      </c>
      <c r="AF526" t="str">
        <f t="shared" si="416"/>
        <v>171,265703090588</v>
      </c>
      <c r="AG526" t="str">
        <f t="shared" si="417"/>
        <v>1+33397,8199966897i</v>
      </c>
      <c r="AH526">
        <f t="shared" si="435"/>
        <v>33397.82001166074</v>
      </c>
      <c r="AI526">
        <f t="shared" si="436"/>
        <v>1.5707663847208391</v>
      </c>
      <c r="AJ526" t="str">
        <f t="shared" si="418"/>
        <v>1+114,217239491703i</v>
      </c>
      <c r="AK526">
        <f t="shared" si="437"/>
        <v>114.2216170306875</v>
      </c>
      <c r="AL526">
        <f t="shared" si="438"/>
        <v>1.5620413047493404</v>
      </c>
      <c r="AM526" t="str">
        <f t="shared" si="419"/>
        <v>1-9,49703208227834i</v>
      </c>
      <c r="AN526">
        <f t="shared" si="439"/>
        <v>9.5495349819676587</v>
      </c>
      <c r="AO526">
        <f t="shared" si="440"/>
        <v>-1.465886852885955</v>
      </c>
      <c r="AP526" s="41" t="str">
        <f t="shared" si="441"/>
        <v>0,537177204585744-5,56763531233506i</v>
      </c>
      <c r="AQ526">
        <f t="shared" si="442"/>
        <v>14.953656201007275</v>
      </c>
      <c r="AR526" s="43">
        <f t="shared" si="443"/>
        <v>-84.489040172360816</v>
      </c>
      <c r="AS526" t="str">
        <f t="shared" si="420"/>
        <v>-0,0000166666666666667</v>
      </c>
      <c r="AT526" t="str">
        <f t="shared" si="421"/>
        <v>0,0115803590040199i</v>
      </c>
      <c r="AU526">
        <f t="shared" si="444"/>
        <v>1.1580359004019899E-2</v>
      </c>
      <c r="AV526">
        <f t="shared" si="445"/>
        <v>1.5707963267948966</v>
      </c>
      <c r="AW526" t="str">
        <f t="shared" si="422"/>
        <v>1+53,6618441062344i</v>
      </c>
      <c r="AX526">
        <f t="shared" si="446"/>
        <v>53.671160904919908</v>
      </c>
      <c r="AY526">
        <f t="shared" si="447"/>
        <v>1.5521632685448827</v>
      </c>
      <c r="AZ526" t="str">
        <f t="shared" si="423"/>
        <v>1+2492,8365762078i</v>
      </c>
      <c r="BA526">
        <f t="shared" si="448"/>
        <v>2492.8367767825125</v>
      </c>
      <c r="BB526">
        <f t="shared" si="449"/>
        <v>1.5703951773750333</v>
      </c>
      <c r="BC526" s="41" t="str">
        <f t="shared" si="450"/>
        <v>-0,00121867432219091+0,0668355299722158i</v>
      </c>
      <c r="BD526">
        <f t="shared" si="451"/>
        <v>-23.498408391527011</v>
      </c>
      <c r="BE526" s="43">
        <f t="shared" si="452"/>
        <v>91.044611428434919</v>
      </c>
      <c r="BF526" s="41" t="str">
        <f t="shared" si="453"/>
        <v>-0,0428775893063864-0,0403595923907989i</v>
      </c>
      <c r="BG526" s="20">
        <f t="shared" si="454"/>
        <v>-24.599980137407677</v>
      </c>
      <c r="BH526" s="43">
        <f t="shared" si="455"/>
        <v>-136.7327185908627</v>
      </c>
      <c r="BI526" s="41" t="str">
        <f t="shared" si="460"/>
        <v>0,371461212726242+0,0426876573479477i</v>
      </c>
      <c r="BJ526" s="20">
        <f t="shared" si="456"/>
        <v>-8.5447521905197341</v>
      </c>
      <c r="BK526" s="43">
        <f t="shared" si="461"/>
        <v>6.5555712560741037</v>
      </c>
      <c r="BL526">
        <f t="shared" si="457"/>
        <v>-24.599980137407677</v>
      </c>
      <c r="BM526" s="43">
        <f t="shared" si="458"/>
        <v>-136.7327185908627</v>
      </c>
    </row>
    <row r="527" spans="14:65" x14ac:dyDescent="0.25">
      <c r="N527" s="9">
        <v>9</v>
      </c>
      <c r="O527" s="34">
        <f t="shared" si="462"/>
        <v>1230268.770812382</v>
      </c>
      <c r="P527" s="33" t="str">
        <f t="shared" si="411"/>
        <v>54,631621870174</v>
      </c>
      <c r="Q527" s="4" t="str">
        <f t="shared" si="412"/>
        <v>1+34505,977970909i</v>
      </c>
      <c r="R527" s="4">
        <f t="shared" si="424"/>
        <v>34505.977985399244</v>
      </c>
      <c r="S527" s="4">
        <f t="shared" si="425"/>
        <v>1.570767346309238</v>
      </c>
      <c r="T527" s="4" t="str">
        <f t="shared" si="413"/>
        <v>1+116,877700769512i</v>
      </c>
      <c r="U527" s="4">
        <f t="shared" si="426"/>
        <v>116.88197866723334</v>
      </c>
      <c r="V527" s="4">
        <f t="shared" si="427"/>
        <v>1.562240583543193</v>
      </c>
      <c r="W527" t="str">
        <f t="shared" si="414"/>
        <v>1-30,7603157770999i</v>
      </c>
      <c r="X527" s="4">
        <f t="shared" si="428"/>
        <v>30.776566194215057</v>
      </c>
      <c r="Y527" s="4">
        <f t="shared" si="429"/>
        <v>-1.5382983530087511</v>
      </c>
      <c r="Z527" t="str">
        <f t="shared" si="415"/>
        <v>-5,05424499374485+4,22621859702841i</v>
      </c>
      <c r="AA527" s="4">
        <f t="shared" si="430"/>
        <v>6.5883469919748201</v>
      </c>
      <c r="AB527" s="4">
        <f t="shared" si="431"/>
        <v>2.4451813831587561</v>
      </c>
      <c r="AC527" s="47" t="str">
        <f t="shared" si="432"/>
        <v>-0,5702550932598+0,649682086122051i</v>
      </c>
      <c r="AD527" s="20">
        <f t="shared" si="433"/>
        <v>-1.2651798667119296</v>
      </c>
      <c r="AE527" s="43">
        <f t="shared" si="434"/>
        <v>131.27487582231143</v>
      </c>
      <c r="AF527" t="str">
        <f t="shared" si="416"/>
        <v>171,265703090588</v>
      </c>
      <c r="AG527" t="str">
        <f t="shared" si="417"/>
        <v>1+34175,7551600665i</v>
      </c>
      <c r="AH527">
        <f t="shared" si="435"/>
        <v>34175.755174696758</v>
      </c>
      <c r="AI527">
        <f t="shared" si="436"/>
        <v>1.5707670662856545</v>
      </c>
      <c r="AJ527" t="str">
        <f t="shared" si="418"/>
        <v>1+116,877700769512i</v>
      </c>
      <c r="AK527">
        <f t="shared" si="437"/>
        <v>116.88197866723334</v>
      </c>
      <c r="AL527">
        <f t="shared" si="438"/>
        <v>1.562240583543193</v>
      </c>
      <c r="AM527" t="str">
        <f t="shared" si="419"/>
        <v>1-9,7182463772609i</v>
      </c>
      <c r="AN527">
        <f t="shared" si="439"/>
        <v>9.7695605146365008</v>
      </c>
      <c r="AO527">
        <f t="shared" si="440"/>
        <v>-1.468257988226511</v>
      </c>
      <c r="AP527" s="41" t="str">
        <f t="shared" si="441"/>
        <v>0,537177197696782-5,69708676314272i</v>
      </c>
      <c r="AQ527">
        <f t="shared" si="442"/>
        <v>15.151497286549944</v>
      </c>
      <c r="AR527" s="43">
        <f t="shared" si="443"/>
        <v>-84.613517436982193</v>
      </c>
      <c r="AS527" t="str">
        <f t="shared" si="420"/>
        <v>-0,0000166666666666667</v>
      </c>
      <c r="AT527" t="str">
        <f t="shared" si="421"/>
        <v>0,0118501002169088i</v>
      </c>
      <c r="AU527">
        <f t="shared" si="444"/>
        <v>1.1850100216908801E-2</v>
      </c>
      <c r="AV527">
        <f t="shared" si="445"/>
        <v>1.5707963267948966</v>
      </c>
      <c r="AW527" t="str">
        <f t="shared" si="422"/>
        <v>1+54,9117890267718i</v>
      </c>
      <c r="AX527">
        <f t="shared" si="446"/>
        <v>54.92089378479465</v>
      </c>
      <c r="AY527">
        <f t="shared" si="447"/>
        <v>1.5525873138932695</v>
      </c>
      <c r="AZ527" t="str">
        <f t="shared" si="423"/>
        <v>1+2550,90219933458i</v>
      </c>
      <c r="BA527">
        <f t="shared" si="448"/>
        <v>2550.9023953436549</v>
      </c>
      <c r="BB527">
        <f t="shared" si="449"/>
        <v>1.570404308649695</v>
      </c>
      <c r="BC527" s="41" t="str">
        <f t="shared" si="450"/>
        <v>-0,00116384312676453+0,0653151661034653i</v>
      </c>
      <c r="BD527">
        <f t="shared" si="451"/>
        <v>-23.698340566742118</v>
      </c>
      <c r="BE527" s="43">
        <f t="shared" si="452"/>
        <v>91.020838603149897</v>
      </c>
      <c r="BF527" s="41" t="str">
        <f t="shared" si="453"/>
        <v>-0,0417704058987147-0,0380024341681261i</v>
      </c>
      <c r="BG527" s="20">
        <f t="shared" si="454"/>
        <v>-24.963520433454054</v>
      </c>
      <c r="BH527" s="43">
        <f t="shared" si="455"/>
        <v>-137.70428557453866</v>
      </c>
      <c r="BI527" s="41" t="str">
        <f t="shared" si="460"/>
        <v>0,371480978251126+0,0417163331664242i</v>
      </c>
      <c r="BJ527" s="20">
        <f t="shared" si="456"/>
        <v>-8.5468432801921779</v>
      </c>
      <c r="BK527" s="43">
        <f t="shared" si="461"/>
        <v>6.4073211661677218</v>
      </c>
      <c r="BL527">
        <f t="shared" si="457"/>
        <v>-24.963520433454054</v>
      </c>
      <c r="BM527" s="43">
        <f t="shared" si="458"/>
        <v>-137.70428557453866</v>
      </c>
    </row>
    <row r="528" spans="14:65" x14ac:dyDescent="0.25">
      <c r="N528" s="9">
        <v>10</v>
      </c>
      <c r="O528" s="34">
        <f t="shared" si="462"/>
        <v>1258925.4117941677</v>
      </c>
      <c r="P528" s="33" t="str">
        <f t="shared" si="411"/>
        <v>54,631621870174</v>
      </c>
      <c r="Q528" s="4" t="str">
        <f t="shared" si="412"/>
        <v>1+35309,7254494252i</v>
      </c>
      <c r="R528" s="4">
        <f t="shared" si="424"/>
        <v>35309.725463585601</v>
      </c>
      <c r="S528" s="4">
        <f t="shared" si="425"/>
        <v>1.5707680059856293</v>
      </c>
      <c r="T528" s="4" t="str">
        <f t="shared" si="413"/>
        <v>1+119,600132151328i</v>
      </c>
      <c r="U528" s="4">
        <f t="shared" si="426"/>
        <v>119.60431267565198</v>
      </c>
      <c r="V528" s="4">
        <f t="shared" si="427"/>
        <v>1.562435326854533</v>
      </c>
      <c r="W528" t="str">
        <f t="shared" si="414"/>
        <v>1-31,4768155750494i</v>
      </c>
      <c r="X528" s="4">
        <f t="shared" si="428"/>
        <v>31.492696276210975</v>
      </c>
      <c r="Y528" s="4">
        <f t="shared" si="429"/>
        <v>-1.5390375941077583</v>
      </c>
      <c r="Z528" t="str">
        <f t="shared" si="415"/>
        <v>-5,33957276984447+4,32465987418576i</v>
      </c>
      <c r="AA528" s="4">
        <f t="shared" si="430"/>
        <v>6.8712240824948312</v>
      </c>
      <c r="AB528" s="4">
        <f t="shared" si="431"/>
        <v>2.4608283898174768</v>
      </c>
      <c r="AC528" s="47" t="str">
        <f t="shared" si="432"/>
        <v>-0,549106257977275+0,646405144102179i</v>
      </c>
      <c r="AD528" s="20">
        <f t="shared" si="433"/>
        <v>-1.4305534914299269</v>
      </c>
      <c r="AE528" s="43">
        <f t="shared" si="434"/>
        <v>130.34713315689311</v>
      </c>
      <c r="AF528" t="str">
        <f t="shared" si="416"/>
        <v>171,265703090588</v>
      </c>
      <c r="AG528" t="str">
        <f t="shared" si="417"/>
        <v>1+34971,8107611989i</v>
      </c>
      <c r="AH528">
        <f t="shared" si="435"/>
        <v>34971.810775496131</v>
      </c>
      <c r="AI528">
        <f t="shared" si="436"/>
        <v>1.5707677323361608</v>
      </c>
      <c r="AJ528" t="str">
        <f t="shared" si="418"/>
        <v>1+119,600132151328i</v>
      </c>
      <c r="AK528">
        <f t="shared" si="437"/>
        <v>119.60431267565198</v>
      </c>
      <c r="AL528">
        <f t="shared" si="438"/>
        <v>1.562435326854533</v>
      </c>
      <c r="AM528" t="str">
        <f t="shared" si="419"/>
        <v>1-9,9446134151089i</v>
      </c>
      <c r="AN528">
        <f t="shared" si="439"/>
        <v>9.9947654287613918</v>
      </c>
      <c r="AO528">
        <f t="shared" si="440"/>
        <v>-1.4705762685204677</v>
      </c>
      <c r="AP528" s="41" t="str">
        <f t="shared" si="441"/>
        <v>0,537177191117868-5,82955888476199i</v>
      </c>
      <c r="AQ528">
        <f t="shared" si="442"/>
        <v>15.349434550736561</v>
      </c>
      <c r="AR528" s="43">
        <f t="shared" si="443"/>
        <v>-84.735225305609021</v>
      </c>
      <c r="AS528" t="str">
        <f t="shared" si="420"/>
        <v>-0,0000166666666666667</v>
      </c>
      <c r="AT528" t="str">
        <f t="shared" si="421"/>
        <v>0,0121261245097875i</v>
      </c>
      <c r="AU528">
        <f t="shared" si="444"/>
        <v>1.2126124509787501E-2</v>
      </c>
      <c r="AV528">
        <f t="shared" si="445"/>
        <v>1.5707963267948966</v>
      </c>
      <c r="AW528" t="str">
        <f t="shared" si="422"/>
        <v>1+56,1908489046948i</v>
      </c>
      <c r="AX528">
        <f t="shared" si="446"/>
        <v>56.199746446316297</v>
      </c>
      <c r="AY528">
        <f t="shared" si="447"/>
        <v>1.553001713119591</v>
      </c>
      <c r="AZ528" t="str">
        <f t="shared" si="423"/>
        <v>1+2610,32034457264i</v>
      </c>
      <c r="BA528">
        <f t="shared" si="448"/>
        <v>2610.3205361200039</v>
      </c>
      <c r="BB528">
        <f t="shared" si="449"/>
        <v>1.5704132320712323</v>
      </c>
      <c r="BC528" s="41" t="str">
        <f t="shared" si="450"/>
        <v>-0,00111147814213514+0,0638293433222536i</v>
      </c>
      <c r="BD528">
        <f t="shared" si="451"/>
        <v>-23.898275793585807</v>
      </c>
      <c r="BE528" s="43">
        <f t="shared" si="452"/>
        <v>90.997606550841084</v>
      </c>
      <c r="BF528" s="41" t="str">
        <f t="shared" si="453"/>
        <v>-0,0406492962647174-0,0357675570494627i</v>
      </c>
      <c r="BG528" s="20">
        <f t="shared" si="454"/>
        <v>-25.328829285015736</v>
      </c>
      <c r="BH528" s="43">
        <f t="shared" si="455"/>
        <v>-138.65526029226578</v>
      </c>
      <c r="BI528" s="41" t="str">
        <f t="shared" si="460"/>
        <v>0,371499854766386+0,0407670946354489i</v>
      </c>
      <c r="BJ528" s="20">
        <f t="shared" si="456"/>
        <v>-8.5488412428492406</v>
      </c>
      <c r="BK528" s="43">
        <f t="shared" si="461"/>
        <v>6.2623812452320635</v>
      </c>
      <c r="BL528">
        <f t="shared" si="457"/>
        <v>-25.328829285015736</v>
      </c>
      <c r="BM528" s="43">
        <f t="shared" si="458"/>
        <v>-138.65526029226578</v>
      </c>
    </row>
    <row r="529" spans="14:65" x14ac:dyDescent="0.25">
      <c r="N529" s="9">
        <v>11</v>
      </c>
      <c r="O529" s="34">
        <f t="shared" si="462"/>
        <v>1288249.5516931366</v>
      </c>
      <c r="P529" s="33" t="str">
        <f t="shared" si="411"/>
        <v>54,631621870174</v>
      </c>
      <c r="Q529" s="4" t="str">
        <f t="shared" si="412"/>
        <v>1+36132,1946117543i</v>
      </c>
      <c r="R529" s="4">
        <f t="shared" si="424"/>
        <v>36132.194625592369</v>
      </c>
      <c r="S529" s="4">
        <f t="shared" si="425"/>
        <v>1.5707686506459528</v>
      </c>
      <c r="T529" s="4" t="str">
        <f t="shared" si="413"/>
        <v>1+122,385977106307i</v>
      </c>
      <c r="U529" s="4">
        <f t="shared" si="426"/>
        <v>122.39006247349292</v>
      </c>
      <c r="V529" s="4">
        <f t="shared" si="427"/>
        <v>1.5626256378797232</v>
      </c>
      <c r="W529" t="str">
        <f t="shared" si="414"/>
        <v>1-32,2100047972618i</v>
      </c>
      <c r="X529" s="4">
        <f t="shared" si="428"/>
        <v>32.225524185645583</v>
      </c>
      <c r="Y529" s="4">
        <f t="shared" si="429"/>
        <v>-1.5397600415784019</v>
      </c>
      <c r="Z529" t="str">
        <f t="shared" si="415"/>
        <v>-5,63834762975027+4,42539414325207i</v>
      </c>
      <c r="AA529" s="4">
        <f t="shared" si="430"/>
        <v>7.1676409868966102</v>
      </c>
      <c r="AB529" s="4">
        <f t="shared" si="431"/>
        <v>2.476142989074587</v>
      </c>
      <c r="AC529" s="47" t="str">
        <f t="shared" si="432"/>
        <v>-0,528530442964498+0,642547950889784i</v>
      </c>
      <c r="AD529" s="20">
        <f t="shared" si="433"/>
        <v>-1.5976068899064622</v>
      </c>
      <c r="AE529" s="43">
        <f t="shared" si="434"/>
        <v>129.43914514576116</v>
      </c>
      <c r="AF529" t="str">
        <f t="shared" si="416"/>
        <v>171,265703090588</v>
      </c>
      <c r="AG529" t="str">
        <f t="shared" si="417"/>
        <v>1+35786,4088793035i</v>
      </c>
      <c r="AH529">
        <f t="shared" si="435"/>
        <v>35786.408893275278</v>
      </c>
      <c r="AI529">
        <f t="shared" si="436"/>
        <v>1.5707683832255066</v>
      </c>
      <c r="AJ529" t="str">
        <f t="shared" si="418"/>
        <v>1+122,385977106307i</v>
      </c>
      <c r="AK529">
        <f t="shared" si="437"/>
        <v>122.39006247349292</v>
      </c>
      <c r="AL529">
        <f t="shared" si="438"/>
        <v>1.5626256378797232</v>
      </c>
      <c r="AM529" t="str">
        <f t="shared" si="419"/>
        <v>1-10,1762532186221i</v>
      </c>
      <c r="AN529">
        <f t="shared" si="439"/>
        <v>10.225269168560635</v>
      </c>
      <c r="AO529">
        <f t="shared" si="440"/>
        <v>-1.4728428232207789</v>
      </c>
      <c r="AP529" s="41" t="str">
        <f t="shared" si="441"/>
        <v>0,537177184835063-5,96512191566534i</v>
      </c>
      <c r="AQ529">
        <f t="shared" si="442"/>
        <v>15.547463750942253</v>
      </c>
      <c r="AR529" s="43">
        <f t="shared" si="443"/>
        <v>-84.854222598646615</v>
      </c>
      <c r="AS529" t="str">
        <f t="shared" si="420"/>
        <v>-0,0000166666666666667</v>
      </c>
      <c r="AT529" t="str">
        <f t="shared" si="421"/>
        <v>0,0124085782343894i</v>
      </c>
      <c r="AU529">
        <f t="shared" si="444"/>
        <v>1.24085782343894E-2</v>
      </c>
      <c r="AV529">
        <f t="shared" si="445"/>
        <v>1.5707963267948966</v>
      </c>
      <c r="AW529" t="str">
        <f t="shared" si="422"/>
        <v>1+57,4997019144809i</v>
      </c>
      <c r="AX529">
        <f t="shared" si="446"/>
        <v>57.508396954307095</v>
      </c>
      <c r="AY529">
        <f t="shared" si="447"/>
        <v>1.5534066853741686</v>
      </c>
      <c r="AZ529" t="str">
        <f t="shared" si="423"/>
        <v>1+2671,12251620907i</v>
      </c>
      <c r="BA529">
        <f t="shared" si="448"/>
        <v>2671.1227033962841</v>
      </c>
      <c r="BB529">
        <f t="shared" si="449"/>
        <v>1.5704219523709557</v>
      </c>
      <c r="BC529" s="41" t="str">
        <f t="shared" si="450"/>
        <v>-0,00106146851120707+0,0623772798208945i</v>
      </c>
      <c r="BD529">
        <f t="shared" si="451"/>
        <v>-24.098213934798945</v>
      </c>
      <c r="BE529" s="43">
        <f t="shared" si="452"/>
        <v>90.974902986204143</v>
      </c>
      <c r="BF529" s="41" t="str">
        <f t="shared" si="453"/>
        <v>-0,0395193749085733-0,0336503357514679i</v>
      </c>
      <c r="BG529" s="20">
        <f t="shared" si="454"/>
        <v>-25.695820824705411</v>
      </c>
      <c r="BH529" s="43">
        <f t="shared" si="455"/>
        <v>-139.58595186803473</v>
      </c>
      <c r="BI529" s="41" t="str">
        <f t="shared" si="460"/>
        <v>0,371517882232566+0,039839440650847i</v>
      </c>
      <c r="BJ529" s="20">
        <f t="shared" si="456"/>
        <v>-8.5507501838566888</v>
      </c>
      <c r="BK529" s="43">
        <f t="shared" si="461"/>
        <v>6.1206803875575231</v>
      </c>
      <c r="BL529">
        <f t="shared" si="457"/>
        <v>-25.695820824705411</v>
      </c>
      <c r="BM529" s="43">
        <f t="shared" si="458"/>
        <v>-139.58595186803473</v>
      </c>
    </row>
    <row r="530" spans="14:65" x14ac:dyDescent="0.25">
      <c r="N530" s="9">
        <v>12</v>
      </c>
      <c r="O530" s="34">
        <f t="shared" si="462"/>
        <v>1318256.7385564097</v>
      </c>
      <c r="P530" s="33" t="str">
        <f t="shared" si="411"/>
        <v>54,631621870174</v>
      </c>
      <c r="Q530" s="4" t="str">
        <f t="shared" si="412"/>
        <v>1+36973,8215419326i</v>
      </c>
      <c r="R530" s="4">
        <f t="shared" si="424"/>
        <v>36973.821555455681</v>
      </c>
      <c r="S530" s="4">
        <f t="shared" si="425"/>
        <v>1.5707692806320157</v>
      </c>
      <c r="T530" s="4" t="str">
        <f t="shared" si="413"/>
        <v>1+125,236712726316i</v>
      </c>
      <c r="U530" s="4">
        <f t="shared" si="426"/>
        <v>125.2407051021903</v>
      </c>
      <c r="V530" s="4">
        <f t="shared" si="427"/>
        <v>1.5628116174690143</v>
      </c>
      <c r="W530" t="str">
        <f t="shared" si="414"/>
        <v>1-32,9602721903675i</v>
      </c>
      <c r="X530" s="4">
        <f t="shared" si="428"/>
        <v>32.97543847870886</v>
      </c>
      <c r="Y530" s="4">
        <f t="shared" si="429"/>
        <v>-1.5404660754536295</v>
      </c>
      <c r="Z530" t="str">
        <f t="shared" si="415"/>
        <v>-5,95120331499755+4,52847481487014i</v>
      </c>
      <c r="AA530" s="4">
        <f t="shared" si="430"/>
        <v>7.4782287371643674</v>
      </c>
      <c r="AB530" s="4">
        <f t="shared" si="431"/>
        <v>2.4911302328090756</v>
      </c>
      <c r="AC530" s="47" t="str">
        <f t="shared" si="432"/>
        <v>-0,508532202164441+0,638154834819833i</v>
      </c>
      <c r="AD530" s="20">
        <f t="shared" si="433"/>
        <v>-1.7662581755947913</v>
      </c>
      <c r="AE530" s="43">
        <f t="shared" si="434"/>
        <v>128.55060632199675</v>
      </c>
      <c r="AF530" t="str">
        <f t="shared" si="416"/>
        <v>171,265703090588</v>
      </c>
      <c r="AG530" t="str">
        <f t="shared" si="417"/>
        <v>1+36619,9814250851i</v>
      </c>
      <c r="AH530">
        <f t="shared" si="435"/>
        <v>36619.98143873884</v>
      </c>
      <c r="AI530">
        <f t="shared" si="436"/>
        <v>1.570769019298802</v>
      </c>
      <c r="AJ530" t="str">
        <f t="shared" si="418"/>
        <v>1+125,236712726316i</v>
      </c>
      <c r="AK530">
        <f t="shared" si="437"/>
        <v>125.2407051021903</v>
      </c>
      <c r="AL530">
        <f t="shared" si="438"/>
        <v>1.5628116174690143</v>
      </c>
      <c r="AM530" t="str">
        <f t="shared" si="419"/>
        <v>1-10,4132886062905i</v>
      </c>
      <c r="AN530">
        <f t="shared" si="439"/>
        <v>10.461193985291525</v>
      </c>
      <c r="AO530">
        <f t="shared" si="440"/>
        <v>-1.4750587608823962</v>
      </c>
      <c r="AP530" s="41" t="str">
        <f t="shared" si="441"/>
        <v>0,53717717883502-6,10384773316604i</v>
      </c>
      <c r="AQ530">
        <f t="shared" si="442"/>
        <v>15.745580828021994</v>
      </c>
      <c r="AR530" s="43">
        <f t="shared" si="443"/>
        <v>-84.970567073094728</v>
      </c>
      <c r="AS530" t="str">
        <f t="shared" si="420"/>
        <v>-0,0000166666666666667</v>
      </c>
      <c r="AT530" t="str">
        <f t="shared" si="421"/>
        <v>0,0126976111514182i</v>
      </c>
      <c r="AU530">
        <f t="shared" si="444"/>
        <v>1.26976111514182E-2</v>
      </c>
      <c r="AV530">
        <f t="shared" si="445"/>
        <v>1.5707963267948966</v>
      </c>
      <c r="AW530" t="str">
        <f t="shared" si="422"/>
        <v>1+58,8390420273207i</v>
      </c>
      <c r="AX530">
        <f t="shared" si="446"/>
        <v>58.847539172787947</v>
      </c>
      <c r="AY530">
        <f t="shared" si="447"/>
        <v>1.5538024448470154</v>
      </c>
      <c r="AZ530" t="str">
        <f t="shared" si="423"/>
        <v>1+2733,34095236008i</v>
      </c>
      <c r="BA530">
        <f t="shared" si="448"/>
        <v>2733.3411352863927</v>
      </c>
      <c r="BB530">
        <f t="shared" si="449"/>
        <v>1.5704304741724784</v>
      </c>
      <c r="BC530" s="41" t="str">
        <f t="shared" si="450"/>
        <v>-0,00101370835390636+0,0609582112915685i</v>
      </c>
      <c r="BD530">
        <f t="shared" si="451"/>
        <v>-24.298154859292932</v>
      </c>
      <c r="BE530" s="43">
        <f t="shared" si="452"/>
        <v>90.952715901968801</v>
      </c>
      <c r="BF530" s="41" t="str">
        <f t="shared" si="453"/>
        <v>-0,0383852739161189-0,0316461163152492i</v>
      </c>
      <c r="BG530" s="20">
        <f t="shared" si="454"/>
        <v>-26.064413034887725</v>
      </c>
      <c r="BH530" s="43">
        <f t="shared" si="455"/>
        <v>-140.49667777603449</v>
      </c>
      <c r="BI530" s="41" t="str">
        <f t="shared" si="460"/>
        <v>0,371535098816184+0,0389328814065166i</v>
      </c>
      <c r="BJ530" s="20">
        <f t="shared" si="456"/>
        <v>-8.5525740312709395</v>
      </c>
      <c r="BK530" s="43">
        <f t="shared" si="461"/>
        <v>5.9821488288740712</v>
      </c>
      <c r="BL530">
        <f t="shared" si="457"/>
        <v>-26.064413034887725</v>
      </c>
      <c r="BM530" s="43">
        <f t="shared" si="458"/>
        <v>-140.49667777603449</v>
      </c>
    </row>
    <row r="531" spans="14:65" x14ac:dyDescent="0.25">
      <c r="N531" s="9">
        <v>13</v>
      </c>
      <c r="O531" s="34">
        <f t="shared" si="462"/>
        <v>1348962.8825916562</v>
      </c>
      <c r="P531" s="33" t="str">
        <f t="shared" ref="P531:P560" si="463">COMPLEX(Adc,0)</f>
        <v>54,631621870174</v>
      </c>
      <c r="Q531" s="4" t="str">
        <f t="shared" ref="Q531:Q560" si="464">IMSUM(COMPLEX(1,0),IMDIV(COMPLEX(0,2*PI()*O531),COMPLEX(wp_lf,0)))</f>
        <v>1+37835,0524816988i</v>
      </c>
      <c r="R531" s="4">
        <f t="shared" si="424"/>
        <v>37835.052494914067</v>
      </c>
      <c r="S531" s="4">
        <f t="shared" si="425"/>
        <v>1.5707698962778449</v>
      </c>
      <c r="T531" s="4" t="str">
        <f t="shared" ref="T531:T560" si="465">IMSUM(COMPLEX(1,0),IMDIV(COMPLEX(0,2*PI()*O531),COMPLEX(wz_esr,0)))</f>
        <v>1+128,153850509117i</v>
      </c>
      <c r="U531" s="4">
        <f t="shared" si="426"/>
        <v>128.15775201022024</v>
      </c>
      <c r="V531" s="4">
        <f t="shared" si="427"/>
        <v>1.5629933641797549</v>
      </c>
      <c r="W531" t="str">
        <f t="shared" ref="W531:W560" si="466">IMSUB(COMPLEX(1,0),IMDIV(COMPLEX(0,2*PI()*O531),COMPLEX(wz_rhp,0)))</f>
        <v>1-33,7280155560693i</v>
      </c>
      <c r="X531" s="4">
        <f t="shared" si="428"/>
        <v>33.742836770942255</v>
      </c>
      <c r="Y531" s="4">
        <f t="shared" si="429"/>
        <v>-1.5411560672647653</v>
      </c>
      <c r="Z531" t="str">
        <f t="shared" ref="Z531:Z560" si="467">IMSUM(COMPLEX(1,0),IMDIV(COMPLEX(0,2*PI()*O531),COMPLEX(Q*(wsl/2),0)),IMDIV(IMPOWER(COMPLEX(0,2*PI()*O531),2),IMPOWER(COMPLEX(wsl/2,0),2)))</f>
        <v>-6,27880343443997+4,63395654377649i</v>
      </c>
      <c r="AA531" s="4">
        <f t="shared" si="430"/>
        <v>7.8036482377119052</v>
      </c>
      <c r="AB531" s="4">
        <f t="shared" si="431"/>
        <v>2.5057953031477465</v>
      </c>
      <c r="AC531" s="47" t="str">
        <f t="shared" si="432"/>
        <v>-0,489113677870312+0,633268392718132i</v>
      </c>
      <c r="AD531" s="20">
        <f t="shared" si="433"/>
        <v>-1.9364291945651368</v>
      </c>
      <c r="AE531" s="43">
        <f t="shared" si="434"/>
        <v>127.6812041122099</v>
      </c>
      <c r="AF531" t="str">
        <f t="shared" ref="AF531:AF560" si="468">COMPLEX($B$72,0)</f>
        <v>171,265703090588</v>
      </c>
      <c r="AG531" t="str">
        <f t="shared" ref="AG531:AG560" si="469">IMSUM(COMPLEX(1,0),IMDIV(COMPLEX(0,2*PI()*O531),COMPLEX(wp_lf_DCM,0)))</f>
        <v>1+37472,9703697409i</v>
      </c>
      <c r="AH531">
        <f t="shared" si="435"/>
        <v>37472.970383083841</v>
      </c>
      <c r="AI531">
        <f t="shared" si="436"/>
        <v>1.5707696408933016</v>
      </c>
      <c r="AJ531" t="str">
        <f t="shared" ref="AJ531:AJ560" si="470">IMSUM(COMPLEX(1,0),IMDIV(COMPLEX(0,2*PI()*O531),COMPLEX(wz1_dcm,0)))</f>
        <v>1+128,153850509117i</v>
      </c>
      <c r="AK531">
        <f t="shared" si="437"/>
        <v>128.15775201022024</v>
      </c>
      <c r="AL531">
        <f t="shared" si="438"/>
        <v>1.5629933641797549</v>
      </c>
      <c r="AM531" t="str">
        <f t="shared" ref="AM531:AM560" si="471">IMSUB(COMPLEX(1,0),IMDIV(COMPLEX(0,2*PI()*O531),COMPLEX(wz2_dcm,0)))</f>
        <v>1-10,6558452574141i</v>
      </c>
      <c r="AN531">
        <f t="shared" si="439"/>
        <v>10.702665002229798</v>
      </c>
      <c r="AO531">
        <f t="shared" si="440"/>
        <v>-1.4772251693281651</v>
      </c>
      <c r="AP531" s="41" t="str">
        <f t="shared" si="441"/>
        <v>0,537177173105032-6,24580989152887i</v>
      </c>
      <c r="AQ531">
        <f t="shared" si="442"/>
        <v>15.943781898696601</v>
      </c>
      <c r="AR531" s="43">
        <f t="shared" si="443"/>
        <v>-85.084315429014339</v>
      </c>
      <c r="AS531" t="str">
        <f t="shared" ref="AS531:AS560" si="472">COMPLEX(Adc_ea,0)</f>
        <v>-0,0000166666666666667</v>
      </c>
      <c r="AT531" t="str">
        <f t="shared" ref="AT531:AT560" si="473">COMPLEX(0,2*PI()*O531*wp0_ea)</f>
        <v>0,0129933765099522i</v>
      </c>
      <c r="AU531">
        <f t="shared" si="444"/>
        <v>1.2993376509952199E-2</v>
      </c>
      <c r="AV531">
        <f t="shared" si="445"/>
        <v>1.5707963267948966</v>
      </c>
      <c r="AW531" t="str">
        <f t="shared" ref="AW531:AW560" si="474">IMSUM(COMPLEX(1,0),IMDIV(COMPLEX(0,2*PI()*O531),COMPLEX(wp1_ea,0)))</f>
        <v>1+60,20957937907i</v>
      </c>
      <c r="AX531">
        <f t="shared" si="446"/>
        <v>60.217883132874505</v>
      </c>
      <c r="AY531">
        <f t="shared" si="447"/>
        <v>1.5541892008788694</v>
      </c>
      <c r="AZ531" t="str">
        <f t="shared" ref="AZ531:AZ560" si="475">IMSUM(COMPLEX(1,0),IMDIV(COMPLEX(0,2*PI()*O531),COMPLEX(wz_ea,0)))</f>
        <v>1+2797,00864206407i</v>
      </c>
      <c r="BA531">
        <f t="shared" si="448"/>
        <v>2797.0088208264724</v>
      </c>
      <c r="BB531">
        <f t="shared" si="449"/>
        <v>1.5704388019941673</v>
      </c>
      <c r="BC531" s="41" t="str">
        <f t="shared" si="450"/>
        <v>-0,000968096544265309+0,0595713905477201i</v>
      </c>
      <c r="BD531">
        <f t="shared" si="451"/>
        <v>-24.498098441871793</v>
      </c>
      <c r="BE531" s="43">
        <f t="shared" si="452"/>
        <v>90.931033562677641</v>
      </c>
      <c r="BF531" s="41" t="str">
        <f t="shared" si="453"/>
        <v>-0,0372511694828397-0,029750246869227i</v>
      </c>
      <c r="BG531" s="20">
        <f t="shared" si="454"/>
        <v>-26.434527636436925</v>
      </c>
      <c r="BH531" s="43">
        <f t="shared" si="455"/>
        <v>-141.38776232511248</v>
      </c>
      <c r="BI531" s="41" t="str">
        <f t="shared" si="460"/>
        <v>0,371551540970138+0,0380469381444873i</v>
      </c>
      <c r="BJ531" s="20">
        <f t="shared" si="456"/>
        <v>-8.5543165431752044</v>
      </c>
      <c r="BK531" s="43">
        <f t="shared" si="461"/>
        <v>5.8467181336633267</v>
      </c>
      <c r="BL531">
        <f t="shared" si="457"/>
        <v>-26.434527636436925</v>
      </c>
      <c r="BM531" s="43">
        <f t="shared" si="458"/>
        <v>-141.38776232511248</v>
      </c>
    </row>
    <row r="532" spans="14:65" x14ac:dyDescent="0.25">
      <c r="N532" s="9">
        <v>14</v>
      </c>
      <c r="O532" s="34">
        <f t="shared" si="462"/>
        <v>1380384.2646028849</v>
      </c>
      <c r="P532" s="33" t="str">
        <f t="shared" si="463"/>
        <v>54,631621870174</v>
      </c>
      <c r="Q532" s="4" t="str">
        <f t="shared" si="464"/>
        <v>1+38716,3440670968i</v>
      </c>
      <c r="R532" s="4">
        <f t="shared" ref="R532:R560" si="476">IMABS(Q532)</f>
        <v>38716.344080011237</v>
      </c>
      <c r="S532" s="4">
        <f t="shared" ref="S532:S560" si="477">IMARGUMENT(Q532)</f>
        <v>1.5707704979098644</v>
      </c>
      <c r="T532" s="4" t="str">
        <f t="shared" si="465"/>
        <v>1+131,138937159775i</v>
      </c>
      <c r="U532" s="4">
        <f t="shared" ref="U532:U560" si="478">IMABS(T532)</f>
        <v>131.14274985448267</v>
      </c>
      <c r="V532" s="4">
        <f t="shared" ref="V532:V560" si="479">IMARGUMENT(T532)</f>
        <v>1.5631709743284019</v>
      </c>
      <c r="W532" t="str">
        <f t="shared" si="466"/>
        <v>1-34,5136419620619i</v>
      </c>
      <c r="X532" s="4">
        <f t="shared" ref="X532:X560" si="480">IMABS(W532)</f>
        <v>34.528125948064428</v>
      </c>
      <c r="Y532" s="4">
        <f t="shared" ref="Y532:Y560" si="481">IMARGUMENT(W532)</f>
        <v>-1.5418303802251188</v>
      </c>
      <c r="Z532" t="str">
        <f t="shared" si="467"/>
        <v>-6,621842871853+4,74189525778002i</v>
      </c>
      <c r="AA532" s="4">
        <f t="shared" ref="AA532:AA560" si="482">IMABS(Z532)</f>
        <v>8.1445916813101835</v>
      </c>
      <c r="AB532" s="4">
        <f t="shared" ref="AB532:AB560" si="483">IMARGUMENT(Z532)</f>
        <v>2.5201434879900346</v>
      </c>
      <c r="AC532" s="47" t="str">
        <f t="shared" ref="AC532:AC560" si="484">(IMDIV(IMPRODUCT(P532,T532,W532),IMPRODUCT(Q532,Z532)))</f>
        <v>-0,470274834736864+0,62792944044927i</v>
      </c>
      <c r="AD532" s="20">
        <f t="shared" ref="AD532:AD560" si="485">20*LOG(IMABS(AC532))</f>
        <v>-2.1080454082997653</v>
      </c>
      <c r="AE532" s="43">
        <f t="shared" ref="AE532:AE560" si="486">(180/PI())*IMARGUMENT(AC532)</f>
        <v>126.83062023131457</v>
      </c>
      <c r="AF532" t="str">
        <f t="shared" si="468"/>
        <v>171,265703090588</v>
      </c>
      <c r="AG532" t="str">
        <f t="shared" si="469"/>
        <v>1+38345,8279793001i</v>
      </c>
      <c r="AH532">
        <f t="shared" ref="AH532:AH560" si="487">IMABS(AG532)</f>
        <v>38345.827992339327</v>
      </c>
      <c r="AI532">
        <f t="shared" ref="AI532:AI560" si="488">IMARGUMENT(AG532)</f>
        <v>1.5707702483385828</v>
      </c>
      <c r="AJ532" t="str">
        <f t="shared" si="470"/>
        <v>1+131,138937159775i</v>
      </c>
      <c r="AK532">
        <f t="shared" ref="AK532:AK560" si="489">IMABS(AJ532)</f>
        <v>131.14274985448267</v>
      </c>
      <c r="AL532">
        <f t="shared" ref="AL532:AL560" si="490">IMARGUMENT(AJ532)</f>
        <v>1.5631709743284019</v>
      </c>
      <c r="AM532" t="str">
        <f t="shared" si="471"/>
        <v>1-10,9040517787399i</v>
      </c>
      <c r="AN532">
        <f t="shared" ref="AN532:AN560" si="491">IMABS(AM532)</f>
        <v>10.949810281161989</v>
      </c>
      <c r="AO532">
        <f t="shared" ref="AO532:AO560" si="492">IMARGUMENT(AM532)</f>
        <v>-1.4793431158304178</v>
      </c>
      <c r="AP532" s="41" t="str">
        <f t="shared" ref="AP532:AP560" si="493">(IMDIV(IMPRODUCT(AF532,AJ532,AM532),IMPRODUCT(AG532)))</f>
        <v>0,537177167632935-6,3910836609692i</v>
      </c>
      <c r="AQ532">
        <f t="shared" ref="AQ532:AQ560" si="494">20*LOG(IMABS(AP532))</f>
        <v>16.142063248225458</v>
      </c>
      <c r="AR532" s="43">
        <f t="shared" ref="AR532:AR560" si="495">(180/PI())*IMARGUMENT(AP532)</f>
        <v>-85.19552331696265</v>
      </c>
      <c r="AS532" t="str">
        <f t="shared" si="472"/>
        <v>-0,0000166666666666667</v>
      </c>
      <c r="AT532" t="str">
        <f t="shared" si="473"/>
        <v>0,0132960311286994i</v>
      </c>
      <c r="AU532">
        <f t="shared" ref="AU532:AU560" si="496">IMABS(AT532)</f>
        <v>1.32960311286994E-2</v>
      </c>
      <c r="AV532">
        <f t="shared" ref="AV532:AV560" si="497">IMARGUMENT(AT532)</f>
        <v>1.5707963267948966</v>
      </c>
      <c r="AW532" t="str">
        <f t="shared" si="474"/>
        <v>1+61,612040646774i</v>
      </c>
      <c r="AX532">
        <f t="shared" ref="AX532:AX560" si="498">IMABS(AW532)</f>
        <v>61.620155409246827</v>
      </c>
      <c r="AY532">
        <f t="shared" ref="AY532:AY560" si="499">IMARGUMENT(AW532)</f>
        <v>1.5545671580698242</v>
      </c>
      <c r="AZ532" t="str">
        <f t="shared" si="475"/>
        <v>1+2862,15934277286i</v>
      </c>
      <c r="BA532">
        <f t="shared" ref="BA532:BA560" si="500">IMABS(AZ532)</f>
        <v>2862.1595174661338</v>
      </c>
      <c r="BB532">
        <f t="shared" ref="BB532:BB560" si="501">IMARGUMENT(AZ532)</f>
        <v>1.5704469402515391</v>
      </c>
      <c r="BC532" s="41" t="str">
        <f t="shared" ref="BC532:BC560" si="502">IMPRODUCT(AS532,IMDIV(AZ532,IMPRODUCT(AT532,AW532)))</f>
        <v>-0,000924536497444114+0,0582160871527496i</v>
      </c>
      <c r="BD532">
        <f t="shared" ref="BD532:BD560" si="503">20*LOG(IMABS(BC532))</f>
        <v>-24.698044562968093</v>
      </c>
      <c r="BE532" s="43">
        <f t="shared" ref="BE532:BE560" si="504">(180/PI())*IMARGUMENT(BC532)</f>
        <v>90.909844498599327</v>
      </c>
      <c r="BF532" s="41" t="str">
        <f t="shared" ref="BF532:BF560" si="505">IMPRODUCT(AC532,BC532)</f>
        <v>-0,0361208087824283-0,0279581044503012i</v>
      </c>
      <c r="BG532" s="20">
        <f t="shared" ref="BG532:BG560" si="506">20*LOG(IMABS(BF532))</f>
        <v>-26.806089971267852</v>
      </c>
      <c r="BH532" s="43">
        <f t="shared" ref="BH532:BH560" si="507">(180/PI())*IMARGUMENT(BF532)</f>
        <v>-142.2595352700861</v>
      </c>
      <c r="BI532" s="41" t="str">
        <f t="shared" si="460"/>
        <v>0,371567243510427+0,0371811429101709i</v>
      </c>
      <c r="BJ532" s="20">
        <f t="shared" ref="BJ532:BJ560" si="508">20*LOG(IMABS(BI532))</f>
        <v>-8.555981314742624</v>
      </c>
      <c r="BK532" s="43">
        <f t="shared" si="461"/>
        <v>5.7143211816366648</v>
      </c>
      <c r="BL532">
        <f t="shared" ref="BL532:BL560" si="509">IF($B$31=0,BJ532,BG532)</f>
        <v>-26.806089971267852</v>
      </c>
      <c r="BM532" s="43">
        <f t="shared" ref="BM532:BM560" si="510">IF($B$31=0,BK532,BH532)</f>
        <v>-142.2595352700861</v>
      </c>
    </row>
    <row r="533" spans="14:65" x14ac:dyDescent="0.25">
      <c r="N533" s="9">
        <v>15</v>
      </c>
      <c r="O533" s="34">
        <f t="shared" si="462"/>
        <v>1412537.5446227565</v>
      </c>
      <c r="P533" s="33" t="str">
        <f t="shared" si="463"/>
        <v>54,631621870174</v>
      </c>
      <c r="Q533" s="4" t="str">
        <f t="shared" si="464"/>
        <v>1+39618,1635705908i</v>
      </c>
      <c r="R533" s="4">
        <f t="shared" si="476"/>
        <v>39618.163583211273</v>
      </c>
      <c r="S533" s="4">
        <f t="shared" si="477"/>
        <v>1.5707710858470671</v>
      </c>
      <c r="T533" s="4" t="str">
        <f t="shared" si="465"/>
        <v>1+134,193555410744i</v>
      </c>
      <c r="U533" s="4">
        <f t="shared" si="478"/>
        <v>134.19728132036215</v>
      </c>
      <c r="V533" s="4">
        <f t="shared" si="479"/>
        <v>1.5633445420413588</v>
      </c>
      <c r="W533" t="str">
        <f t="shared" si="466"/>
        <v>1-35,317567957865i</v>
      </c>
      <c r="X533" s="4">
        <f t="shared" si="480"/>
        <v>35.331722381712623</v>
      </c>
      <c r="Y533" s="4">
        <f t="shared" si="481"/>
        <v>-1.5424893694100736</v>
      </c>
      <c r="Z533" t="str">
        <f t="shared" si="467"/>
        <v>-6,98104925987555+4,85234818741564i</v>
      </c>
      <c r="AA533" s="4">
        <f t="shared" si="482"/>
        <v>8.5017840304682402</v>
      </c>
      <c r="AB533" s="4">
        <f t="shared" si="483"/>
        <v>2.5341801586473549</v>
      </c>
      <c r="AC533" s="47" t="str">
        <f t="shared" si="484"/>
        <v>-0,452013681812741+0,622176982684618i</v>
      </c>
      <c r="AD533" s="20">
        <f t="shared" si="485"/>
        <v>-2.281035771929667</v>
      </c>
      <c r="AE533" s="43">
        <f t="shared" si="486"/>
        <v>125.99853195628405</v>
      </c>
      <c r="AF533" t="str">
        <f t="shared" si="468"/>
        <v>171,265703090588</v>
      </c>
      <c r="AG533" t="str">
        <f t="shared" si="469"/>
        <v>1+39239,0170544212i</v>
      </c>
      <c r="AH533">
        <f t="shared" si="487"/>
        <v>39239.017067163622</v>
      </c>
      <c r="AI533">
        <f t="shared" si="488"/>
        <v>1.5707708419567215</v>
      </c>
      <c r="AJ533" t="str">
        <f t="shared" si="470"/>
        <v>1+134,193555410744i</v>
      </c>
      <c r="AK533">
        <f t="shared" si="489"/>
        <v>134.19728132036215</v>
      </c>
      <c r="AL533">
        <f t="shared" si="490"/>
        <v>1.5633445420413588</v>
      </c>
      <c r="AM533" t="str">
        <f t="shared" si="471"/>
        <v>1-11,1580397726511i</v>
      </c>
      <c r="AN533">
        <f t="shared" si="491"/>
        <v>11.202760890426243</v>
      </c>
      <c r="AO533">
        <f t="shared" si="492"/>
        <v>-1.481413647306731</v>
      </c>
      <c r="AP533" s="41" t="str">
        <f t="shared" si="493"/>
        <v>0,53717716240712-6,53974606756259i</v>
      </c>
      <c r="AQ533">
        <f t="shared" si="494"/>
        <v>16.340421323359749</v>
      </c>
      <c r="AR533" s="43">
        <f t="shared" si="495"/>
        <v>-85.304245346306189</v>
      </c>
      <c r="AS533" t="str">
        <f t="shared" si="472"/>
        <v>-0,0000166666666666667</v>
      </c>
      <c r="AT533" t="str">
        <f t="shared" si="473"/>
        <v>0,0136057354791449i</v>
      </c>
      <c r="AU533">
        <f t="shared" si="496"/>
        <v>1.36057354791449E-2</v>
      </c>
      <c r="AV533">
        <f t="shared" si="497"/>
        <v>1.5707963267948966</v>
      </c>
      <c r="AW533" t="str">
        <f t="shared" si="474"/>
        <v>1+63,0471694339609i</v>
      </c>
      <c r="AX533">
        <f t="shared" si="498"/>
        <v>63.055099505389521</v>
      </c>
      <c r="AY533">
        <f t="shared" si="499"/>
        <v>1.5549365163856028</v>
      </c>
      <c r="AZ533" t="str">
        <f t="shared" si="475"/>
        <v>1+2928,82759825037i</v>
      </c>
      <c r="BA533">
        <f t="shared" si="500"/>
        <v>2928.8277689671395</v>
      </c>
      <c r="BB533">
        <f t="shared" si="501"/>
        <v>1.5704548932596014</v>
      </c>
      <c r="BC533" s="41" t="str">
        <f t="shared" si="502"/>
        <v>-0,00088293596625109+0,0568915870559363i</v>
      </c>
      <c r="BD533">
        <f t="shared" si="503"/>
        <v>-24.897993108389919</v>
      </c>
      <c r="BE533" s="43">
        <f t="shared" si="504"/>
        <v>90.889137499773526</v>
      </c>
      <c r="BF533" s="41" t="str">
        <f t="shared" si="505"/>
        <v>-0,0349975368376917-0,0262651181647097i</v>
      </c>
      <c r="BG533" s="20">
        <f t="shared" si="506"/>
        <v>-27.179028880319578</v>
      </c>
      <c r="BH533" s="43">
        <f t="shared" si="507"/>
        <v>-143.11233054394242</v>
      </c>
      <c r="BI533" s="41" t="str">
        <f t="shared" si="460"/>
        <v>0,371582239689516+0,0363350383127456i</v>
      </c>
      <c r="BJ533" s="20">
        <f t="shared" si="508"/>
        <v>-8.5575717850301753</v>
      </c>
      <c r="BK533" s="43">
        <f t="shared" si="461"/>
        <v>5.584892153467341</v>
      </c>
      <c r="BL533">
        <f t="shared" si="509"/>
        <v>-27.179028880319578</v>
      </c>
      <c r="BM533" s="43">
        <f t="shared" si="510"/>
        <v>-143.11233054394242</v>
      </c>
    </row>
    <row r="534" spans="14:65" x14ac:dyDescent="0.25">
      <c r="N534" s="9">
        <v>16</v>
      </c>
      <c r="O534" s="34">
        <f t="shared" si="462"/>
        <v>1445439.7707459298</v>
      </c>
      <c r="P534" s="33" t="str">
        <f t="shared" si="463"/>
        <v>54,631621870174</v>
      </c>
      <c r="Q534" s="4" t="str">
        <f t="shared" si="464"/>
        <v>1+40540,9891488183i</v>
      </c>
      <c r="R534" s="4">
        <f t="shared" si="476"/>
        <v>40540.989161151498</v>
      </c>
      <c r="S534" s="4">
        <f t="shared" si="477"/>
        <v>1.5707716604011852</v>
      </c>
      <c r="T534" s="4" t="str">
        <f t="shared" si="465"/>
        <v>1+137,319324861054i</v>
      </c>
      <c r="U534" s="4">
        <f t="shared" si="478"/>
        <v>137.32296596088975</v>
      </c>
      <c r="V534" s="4">
        <f t="shared" si="479"/>
        <v>1.5635141593046697</v>
      </c>
      <c r="W534" t="str">
        <f t="shared" si="466"/>
        <v>1-36,1402197956826i</v>
      </c>
      <c r="X534" s="4">
        <f t="shared" si="480"/>
        <v>36.154052150211989</v>
      </c>
      <c r="Y534" s="4">
        <f t="shared" si="481"/>
        <v>-1.5431333819336912</v>
      </c>
      <c r="Z534" t="str">
        <f t="shared" si="467"/>
        <v>-7,3571845234162+4,96537389628865i</v>
      </c>
      <c r="AA534" s="4">
        <f t="shared" si="482"/>
        <v>8.8759845674460021</v>
      </c>
      <c r="AB534" s="4">
        <f t="shared" si="483"/>
        <v>2.5479107494863698</v>
      </c>
      <c r="AC534" s="47" t="str">
        <f t="shared" si="484"/>
        <v>-0,434326482038453+0,616048199496331i</v>
      </c>
      <c r="AD534" s="20">
        <f t="shared" si="485"/>
        <v>-2.4553326093959371</v>
      </c>
      <c r="AE534" s="43">
        <f t="shared" si="486"/>
        <v>125.18461328522486</v>
      </c>
      <c r="AF534" t="str">
        <f t="shared" si="468"/>
        <v>171,265703090588</v>
      </c>
      <c r="AG534" t="str">
        <f t="shared" si="469"/>
        <v>1+40153,0111757742i</v>
      </c>
      <c r="AH534">
        <f t="shared" si="487"/>
        <v>40153.011188226563</v>
      </c>
      <c r="AI534">
        <f t="shared" si="488"/>
        <v>1.5707714220624616</v>
      </c>
      <c r="AJ534" t="str">
        <f t="shared" si="470"/>
        <v>1+137,319324861054i</v>
      </c>
      <c r="AK534">
        <f t="shared" si="489"/>
        <v>137.32296596088975</v>
      </c>
      <c r="AL534">
        <f t="shared" si="490"/>
        <v>1.5635141593046697</v>
      </c>
      <c r="AM534" t="str">
        <f t="shared" si="471"/>
        <v>1-11,4179439069438i</v>
      </c>
      <c r="AN534">
        <f t="shared" si="491"/>
        <v>11.461650974537438</v>
      </c>
      <c r="AO534">
        <f t="shared" si="492"/>
        <v>-1.4834377905284111</v>
      </c>
      <c r="AP534" s="41" t="str">
        <f t="shared" si="493"/>
        <v>0,537177157416511-6,69187593408478i</v>
      </c>
      <c r="AQ534">
        <f t="shared" si="494"/>
        <v>16.538852725566048</v>
      </c>
      <c r="AR534" s="43">
        <f t="shared" si="495"/>
        <v>-85.410535094328779</v>
      </c>
      <c r="AS534" t="str">
        <f t="shared" si="472"/>
        <v>-0,0000166666666666667</v>
      </c>
      <c r="AT534" t="str">
        <f t="shared" si="473"/>
        <v>0,0139226537706346i</v>
      </c>
      <c r="AU534">
        <f t="shared" si="496"/>
        <v>1.39226537706346E-2</v>
      </c>
      <c r="AV534">
        <f t="shared" si="497"/>
        <v>1.5707963267948966</v>
      </c>
      <c r="AW534" t="str">
        <f t="shared" si="474"/>
        <v>1+64,5157266649096i</v>
      </c>
      <c r="AX534">
        <f t="shared" si="498"/>
        <v>64.523476247807096</v>
      </c>
      <c r="AY534">
        <f t="shared" si="499"/>
        <v>1.5552974712615228</v>
      </c>
      <c r="AZ534" t="str">
        <f t="shared" si="475"/>
        <v>1+2997,04875688807i</v>
      </c>
      <c r="BA534">
        <f t="shared" si="500"/>
        <v>2997.0489237188513</v>
      </c>
      <c r="BB534">
        <f t="shared" si="501"/>
        <v>1.5704626652351399</v>
      </c>
      <c r="BC534" s="41" t="str">
        <f t="shared" si="502"/>
        <v>-0,000843206846741482+0,0555971922355016i</v>
      </c>
      <c r="BD534">
        <f t="shared" si="503"/>
        <v>-25.097943969079672</v>
      </c>
      <c r="BE534" s="43">
        <f t="shared" si="504"/>
        <v>90.868901610185489</v>
      </c>
      <c r="BF534" s="41" t="str">
        <f t="shared" si="505"/>
        <v>-0,0338843231103562-0,0246667889745991i</v>
      </c>
      <c r="BG534" s="20">
        <f t="shared" si="506"/>
        <v>-27.553276578475604</v>
      </c>
      <c r="BH534" s="43">
        <f t="shared" si="507"/>
        <v>-143.94648510458958</v>
      </c>
      <c r="BI534" s="41" t="str">
        <f t="shared" si="460"/>
        <v>0,371596561266392+0,0355081772905709i</v>
      </c>
      <c r="BJ534" s="20">
        <f t="shared" si="508"/>
        <v>-8.5590912435136133</v>
      </c>
      <c r="BK534" s="43">
        <f t="shared" si="461"/>
        <v>5.4583665158567145</v>
      </c>
      <c r="BL534">
        <f t="shared" si="509"/>
        <v>-27.553276578475604</v>
      </c>
      <c r="BM534" s="43">
        <f t="shared" si="510"/>
        <v>-143.94648510458958</v>
      </c>
    </row>
    <row r="535" spans="14:65" x14ac:dyDescent="0.25">
      <c r="N535" s="9">
        <v>17</v>
      </c>
      <c r="O535" s="34">
        <f t="shared" si="462"/>
        <v>1479108.3881682095</v>
      </c>
      <c r="P535" s="33" t="str">
        <f t="shared" si="463"/>
        <v>54,631621870174</v>
      </c>
      <c r="Q535" s="4" t="str">
        <f t="shared" si="464"/>
        <v>1+41485,3100961158i</v>
      </c>
      <c r="R535" s="4">
        <f t="shared" si="476"/>
        <v>41485.310108168262</v>
      </c>
      <c r="S535" s="4">
        <f t="shared" si="477"/>
        <v>1.5707722218768547</v>
      </c>
      <c r="T535" s="4" t="str">
        <f t="shared" si="465"/>
        <v>1+140,51790283504i</v>
      </c>
      <c r="U535" s="4">
        <f t="shared" si="478"/>
        <v>140.52146105544782</v>
      </c>
      <c r="V535" s="4">
        <f t="shared" si="479"/>
        <v>1.5636799160125914</v>
      </c>
      <c r="W535" t="str">
        <f t="shared" si="466"/>
        <v>1-36,9820336564081i</v>
      </c>
      <c r="X535" s="4">
        <f t="shared" si="480"/>
        <v>36.995551264492626</v>
      </c>
      <c r="Y535" s="4">
        <f t="shared" si="481"/>
        <v>-1.5437627571218686</v>
      </c>
      <c r="Z535" t="str">
        <f t="shared" si="467"/>
        <v>-7,75104649579824+5,08103231212595i</v>
      </c>
      <c r="AA535" s="4">
        <f t="shared" si="482"/>
        <v>9.2679885162258469</v>
      </c>
      <c r="AB535" s="4">
        <f t="shared" si="483"/>
        <v>2.5613407394617211</v>
      </c>
      <c r="AC535" s="47" t="str">
        <f t="shared" si="484"/>
        <v>-0,417207948907242+0,609578447546736i</v>
      </c>
      <c r="AD535" s="20">
        <f t="shared" si="485"/>
        <v>-2.6308714868304959</v>
      </c>
      <c r="AE535" s="43">
        <f t="shared" si="486"/>
        <v>124.38853598832512</v>
      </c>
      <c r="AF535" t="str">
        <f t="shared" si="468"/>
        <v>171,265703090588</v>
      </c>
      <c r="AG535" t="str">
        <f t="shared" si="469"/>
        <v>1+41088,2949551405i</v>
      </c>
      <c r="AH535">
        <f t="shared" si="487"/>
        <v>41088.294967309412</v>
      </c>
      <c r="AI535">
        <f t="shared" si="488"/>
        <v>1.5707719889633829</v>
      </c>
      <c r="AJ535" t="str">
        <f t="shared" si="470"/>
        <v>1+140,51790283504i</v>
      </c>
      <c r="AK535">
        <f t="shared" si="489"/>
        <v>140.52146105544782</v>
      </c>
      <c r="AL535">
        <f t="shared" si="490"/>
        <v>1.5636799160125914</v>
      </c>
      <c r="AM535" t="str">
        <f t="shared" si="471"/>
        <v>1-11,6839019862303i</v>
      </c>
      <c r="AN535">
        <f t="shared" si="491"/>
        <v>11.726617825436128</v>
      </c>
      <c r="AO535">
        <f t="shared" si="492"/>
        <v>-1.4854165523403915</v>
      </c>
      <c r="AP535" s="41" t="str">
        <f t="shared" si="493"/>
        <v>0,537177152650508-6,84755392180457i</v>
      </c>
      <c r="AQ535">
        <f t="shared" si="494"/>
        <v>16.737354204513093</v>
      </c>
      <c r="AR535" s="43">
        <f t="shared" si="495"/>
        <v>-85.514445116057217</v>
      </c>
      <c r="AS535" t="str">
        <f t="shared" si="472"/>
        <v>-0,0000166666666666667</v>
      </c>
      <c r="AT535" t="str">
        <f t="shared" si="473"/>
        <v>0,0142469540374416i</v>
      </c>
      <c r="AU535">
        <f t="shared" si="496"/>
        <v>1.4246954037441599E-2</v>
      </c>
      <c r="AV535">
        <f t="shared" si="497"/>
        <v>1.5707963267948966</v>
      </c>
      <c r="AW535" t="str">
        <f t="shared" si="474"/>
        <v>1+66,0184909881025i</v>
      </c>
      <c r="AX535">
        <f t="shared" si="498"/>
        <v>66.026064189425753</v>
      </c>
      <c r="AY535">
        <f t="shared" si="499"/>
        <v>1.5556502137041954</v>
      </c>
      <c r="AZ535" t="str">
        <f t="shared" si="475"/>
        <v>1+3066,85899044731i</v>
      </c>
      <c r="BA535">
        <f t="shared" si="500"/>
        <v>3066.8591534805596</v>
      </c>
      <c r="BB535">
        <f t="shared" si="501"/>
        <v>1.5704702602989558</v>
      </c>
      <c r="BC535" s="41" t="str">
        <f t="shared" si="502"/>
        <v>-0,000805264992493245+0,0543322203487311i</v>
      </c>
      <c r="BD535">
        <f t="shared" si="503"/>
        <v>-25.297897040883157</v>
      </c>
      <c r="BE535" s="43">
        <f t="shared" si="504"/>
        <v>90.849126122066991</v>
      </c>
      <c r="BF535" s="41" t="str">
        <f t="shared" si="505"/>
        <v>-0,0327837875761018-0,0231587063952582i</v>
      </c>
      <c r="BG535" s="20">
        <f t="shared" si="506"/>
        <v>-27.928768527713647</v>
      </c>
      <c r="BH535" s="43">
        <f t="shared" si="507"/>
        <v>-144.76233788960789</v>
      </c>
      <c r="BI535" s="41" t="str">
        <f t="shared" si="460"/>
        <v>0,371610238573507+0,0347001228815504i</v>
      </c>
      <c r="BJ535" s="20">
        <f t="shared" si="508"/>
        <v>-8.5605428363700682</v>
      </c>
      <c r="BK535" s="43">
        <f t="shared" si="461"/>
        <v>5.3346810060097711</v>
      </c>
      <c r="BL535">
        <f t="shared" si="509"/>
        <v>-27.928768527713647</v>
      </c>
      <c r="BM535" s="43">
        <f t="shared" si="510"/>
        <v>-144.76233788960789</v>
      </c>
    </row>
    <row r="536" spans="14:65" x14ac:dyDescent="0.25">
      <c r="N536" s="9">
        <v>18</v>
      </c>
      <c r="O536" s="34">
        <f t="shared" si="462"/>
        <v>1513561.2484362102</v>
      </c>
      <c r="P536" s="33" t="str">
        <f t="shared" si="463"/>
        <v>54,631621870174</v>
      </c>
      <c r="Q536" s="4" t="str">
        <f t="shared" si="464"/>
        <v>1+42451,6271039493i</v>
      </c>
      <c r="R536" s="4">
        <f t="shared" si="476"/>
        <v>42451.62711572741</v>
      </c>
      <c r="S536" s="4">
        <f t="shared" si="477"/>
        <v>1.5707727705717778</v>
      </c>
      <c r="T536" s="4" t="str">
        <f t="shared" si="465"/>
        <v>1+143,790985261085i</v>
      </c>
      <c r="U536" s="4">
        <f t="shared" si="478"/>
        <v>143.79446248848936</v>
      </c>
      <c r="V536" s="4">
        <f t="shared" si="479"/>
        <v>1.5638419000150696</v>
      </c>
      <c r="W536" t="str">
        <f t="shared" si="466"/>
        <v>1-37,8434558808935i</v>
      </c>
      <c r="X536" s="4">
        <f t="shared" si="480"/>
        <v>37.856665899272393</v>
      </c>
      <c r="Y536" s="4">
        <f t="shared" si="481"/>
        <v>-1.5443778266820893</v>
      </c>
      <c r="Z536" t="str">
        <f t="shared" si="467"/>
        <v>-8,16347061107114+5,19938475855057i</v>
      </c>
      <c r="AA536" s="4">
        <f t="shared" si="482"/>
        <v>9.6786287399233473</v>
      </c>
      <c r="AB536" s="4">
        <f t="shared" si="483"/>
        <v>2.5744756354219867</v>
      </c>
      <c r="AC536" s="47" t="str">
        <f t="shared" si="484"/>
        <v>-0,400651430198748+0,602801273813372i</v>
      </c>
      <c r="AD536" s="20">
        <f t="shared" si="485"/>
        <v>-2.8075910852734531</v>
      </c>
      <c r="AE536" s="43">
        <f t="shared" si="486"/>
        <v>123.60997055733817</v>
      </c>
      <c r="AF536" t="str">
        <f t="shared" si="468"/>
        <v>171,265703090588</v>
      </c>
      <c r="AG536" t="str">
        <f t="shared" si="469"/>
        <v>1+42045,36429236i</v>
      </c>
      <c r="AH536">
        <f t="shared" si="487"/>
        <v>42045.364304251918</v>
      </c>
      <c r="AI536">
        <f t="shared" si="488"/>
        <v>1.5707725429600639</v>
      </c>
      <c r="AJ536" t="str">
        <f t="shared" si="470"/>
        <v>1+143,790985261085i</v>
      </c>
      <c r="AK536">
        <f t="shared" si="489"/>
        <v>143.79446248848936</v>
      </c>
      <c r="AL536">
        <f t="shared" si="490"/>
        <v>1.5638419000150696</v>
      </c>
      <c r="AM536" t="str">
        <f t="shared" si="471"/>
        <v>1-11,9560550250047i</v>
      </c>
      <c r="AN536">
        <f t="shared" si="491"/>
        <v>11.997801955397501</v>
      </c>
      <c r="AO536">
        <f t="shared" si="492"/>
        <v>-1.4873509198912744</v>
      </c>
      <c r="AP536" s="41" t="str">
        <f t="shared" si="493"/>
        <v>0,537177148099016-7,00686257325189i</v>
      </c>
      <c r="AQ536">
        <f t="shared" si="494"/>
        <v>16.935922651813605</v>
      </c>
      <c r="AR536" s="43">
        <f t="shared" si="495"/>
        <v>-85.616026954730913</v>
      </c>
      <c r="AS536" t="str">
        <f t="shared" si="472"/>
        <v>-0,0000166666666666667</v>
      </c>
      <c r="AT536" t="str">
        <f t="shared" si="473"/>
        <v>0,01457880822786i</v>
      </c>
      <c r="AU536">
        <f t="shared" si="496"/>
        <v>1.457880822786E-2</v>
      </c>
      <c r="AV536">
        <f t="shared" si="497"/>
        <v>1.5707963267948966</v>
      </c>
      <c r="AW536" t="str">
        <f t="shared" si="474"/>
        <v>1+67,5562591890754i</v>
      </c>
      <c r="AX536">
        <f t="shared" si="498"/>
        <v>67.563660022393222</v>
      </c>
      <c r="AY536">
        <f t="shared" si="499"/>
        <v>1.555994930391005</v>
      </c>
      <c r="AZ536" t="str">
        <f t="shared" si="475"/>
        <v>1+3138,29531323796i</v>
      </c>
      <c r="BA536">
        <f t="shared" si="500"/>
        <v>3138.2954725601198</v>
      </c>
      <c r="BB536">
        <f t="shared" si="501"/>
        <v>1.5704776824780482</v>
      </c>
      <c r="BC536" s="41" t="str">
        <f t="shared" si="502"/>
        <v>-0,00076903003717564+0,0530960043890599i</v>
      </c>
      <c r="BD536">
        <f t="shared" si="503"/>
        <v>-25.497852224329623</v>
      </c>
      <c r="BE536" s="43">
        <f t="shared" si="504"/>
        <v>90.829800570321865</v>
      </c>
      <c r="BF536" s="41" t="str">
        <f t="shared" si="505"/>
        <v>-0,0316982260958655-0,0217365623823261i</v>
      </c>
      <c r="BG536" s="20">
        <f t="shared" si="506"/>
        <v>-28.305443309603071</v>
      </c>
      <c r="BH536" s="43">
        <f t="shared" si="507"/>
        <v>-145.56022887233996</v>
      </c>
      <c r="BI536" s="41" t="str">
        <f t="shared" si="460"/>
        <v>0,371623300580749+0,0339104479983605i</v>
      </c>
      <c r="BJ536" s="20">
        <f t="shared" si="508"/>
        <v>-8.5619295725160267</v>
      </c>
      <c r="BK536" s="43">
        <f t="shared" si="461"/>
        <v>5.2137736155909407</v>
      </c>
      <c r="BL536">
        <f t="shared" si="509"/>
        <v>-28.305443309603071</v>
      </c>
      <c r="BM536" s="43">
        <f t="shared" si="510"/>
        <v>-145.56022887233996</v>
      </c>
    </row>
    <row r="537" spans="14:65" x14ac:dyDescent="0.25">
      <c r="N537" s="9">
        <v>19</v>
      </c>
      <c r="O537" s="34">
        <f t="shared" si="462"/>
        <v>1548816.6189124861</v>
      </c>
      <c r="P537" s="33" t="str">
        <f t="shared" si="463"/>
        <v>54,631621870174</v>
      </c>
      <c r="Q537" s="4" t="str">
        <f t="shared" si="464"/>
        <v>1+43440,4525263871i</v>
      </c>
      <c r="R537" s="4">
        <f t="shared" si="476"/>
        <v>43440.452537897101</v>
      </c>
      <c r="S537" s="4">
        <f t="shared" si="477"/>
        <v>1.5707733067768797</v>
      </c>
      <c r="T537" s="4" t="str">
        <f t="shared" si="465"/>
        <v>1+147,140307570814i</v>
      </c>
      <c r="U537" s="4">
        <f t="shared" si="478"/>
        <v>147.14370564870842</v>
      </c>
      <c r="V537" s="4">
        <f t="shared" si="479"/>
        <v>1.5640001971641448</v>
      </c>
      <c r="W537" t="str">
        <f t="shared" si="466"/>
        <v>1-38,7249432066042i</v>
      </c>
      <c r="X537" s="4">
        <f t="shared" si="480"/>
        <v>38.737852629627277</v>
      </c>
      <c r="Y537" s="4">
        <f t="shared" si="481"/>
        <v>-1.544978914869811</v>
      </c>
      <c r="Z537" t="str">
        <f t="shared" si="467"/>
        <v>-8,59533167607804+5,32049398759617i</v>
      </c>
      <c r="AA537" s="4">
        <f t="shared" si="482"/>
        <v>10.108777517278611</v>
      </c>
      <c r="AB537" s="4">
        <f t="shared" si="483"/>
        <v>2.5873209570727642</v>
      </c>
      <c r="AC537" s="47" t="str">
        <f t="shared" si="484"/>
        <v>-0,384649078870859+0,595748439962999i</v>
      </c>
      <c r="AD537" s="20">
        <f t="shared" si="485"/>
        <v>-2.9854330736877737</v>
      </c>
      <c r="AE537" s="43">
        <f t="shared" si="486"/>
        <v>122.84858706025062</v>
      </c>
      <c r="AF537" t="str">
        <f t="shared" si="468"/>
        <v>171,265703090588</v>
      </c>
      <c r="AG537" t="str">
        <f t="shared" si="469"/>
        <v>1+43024,7266382635i</v>
      </c>
      <c r="AH537">
        <f t="shared" si="487"/>
        <v>43024.726649884724</v>
      </c>
      <c r="AI537">
        <f t="shared" si="488"/>
        <v>1.5707730843462409</v>
      </c>
      <c r="AJ537" t="str">
        <f t="shared" si="470"/>
        <v>1+147,140307570814i</v>
      </c>
      <c r="AK537">
        <f t="shared" si="489"/>
        <v>147.14370564870842</v>
      </c>
      <c r="AL537">
        <f t="shared" si="490"/>
        <v>1.5640001971641448</v>
      </c>
      <c r="AM537" t="str">
        <f t="shared" si="471"/>
        <v>1-12,2345473224104i</v>
      </c>
      <c r="AN537">
        <f t="shared" si="491"/>
        <v>12.275347171640378</v>
      </c>
      <c r="AO537">
        <f t="shared" si="492"/>
        <v>-1.4892418608723685</v>
      </c>
      <c r="AP537" s="41" t="str">
        <f t="shared" si="493"/>
        <v>0,537177143752374-7,16988635598229i</v>
      </c>
      <c r="AQ537">
        <f t="shared" si="494"/>
        <v>17.13455509501118</v>
      </c>
      <c r="AR537" s="43">
        <f t="shared" si="495"/>
        <v>-85.715331152848009</v>
      </c>
      <c r="AS537" t="str">
        <f t="shared" si="472"/>
        <v>-0,0000166666666666667</v>
      </c>
      <c r="AT537" t="str">
        <f t="shared" si="473"/>
        <v>0,0149183922953741i</v>
      </c>
      <c r="AU537">
        <f t="shared" si="496"/>
        <v>1.4918392295374099E-2</v>
      </c>
      <c r="AV537">
        <f t="shared" si="497"/>
        <v>1.5707963267948966</v>
      </c>
      <c r="AW537" t="str">
        <f t="shared" si="474"/>
        <v>1+69,1298466128833i</v>
      </c>
      <c r="AX537">
        <f t="shared" si="498"/>
        <v>69.137079000495618</v>
      </c>
      <c r="AY537">
        <f t="shared" si="499"/>
        <v>1.5563318037674136</v>
      </c>
      <c r="AZ537" t="str">
        <f t="shared" si="475"/>
        <v>1+3211,39560174395i</v>
      </c>
      <c r="BA537">
        <f t="shared" si="500"/>
        <v>3211.3957574394944</v>
      </c>
      <c r="BB537">
        <f t="shared" si="501"/>
        <v>1.5704849357077519</v>
      </c>
      <c r="BC537" s="41" t="str">
        <f t="shared" si="502"/>
        <v>-0,00073442522504327+0,0518878923500358i</v>
      </c>
      <c r="BD537">
        <f t="shared" si="503"/>
        <v>-25.697809424421077</v>
      </c>
      <c r="BE537" s="43">
        <f t="shared" si="504"/>
        <v>90.810914727073182</v>
      </c>
      <c r="BF537" s="41" t="str">
        <f t="shared" si="505"/>
        <v>-0,0306296349341894-0,0203961626790806i</v>
      </c>
      <c r="BG537" s="20">
        <f t="shared" si="506"/>
        <v>-28.683242498108854</v>
      </c>
      <c r="BH537" s="43">
        <f t="shared" si="507"/>
        <v>-146.3404982126761</v>
      </c>
      <c r="BI537" s="41" t="str">
        <f t="shared" si="460"/>
        <v>0,371635774956511+0,0331387352084499i</v>
      </c>
      <c r="BJ537" s="20">
        <f t="shared" si="508"/>
        <v>-8.5632543294098955</v>
      </c>
      <c r="BK537" s="43">
        <f t="shared" si="461"/>
        <v>5.0955835742251976</v>
      </c>
      <c r="BL537">
        <f t="shared" si="509"/>
        <v>-28.683242498108854</v>
      </c>
      <c r="BM537" s="43">
        <f t="shared" si="510"/>
        <v>-146.3404982126761</v>
      </c>
    </row>
    <row r="538" spans="14:65" x14ac:dyDescent="0.25">
      <c r="N538" s="9">
        <v>20</v>
      </c>
      <c r="O538" s="34">
        <f t="shared" si="462"/>
        <v>1584893.1924611153</v>
      </c>
      <c r="P538" s="33" t="str">
        <f t="shared" si="463"/>
        <v>54,631621870174</v>
      </c>
      <c r="Q538" s="4" t="str">
        <f t="shared" si="464"/>
        <v>1+44452,3106517566i</v>
      </c>
      <c r="R538" s="4">
        <f t="shared" si="476"/>
        <v>44452.310663004602</v>
      </c>
      <c r="S538" s="4">
        <f t="shared" si="477"/>
        <v>1.5707738307764632</v>
      </c>
      <c r="T538" s="4" t="str">
        <f t="shared" si="465"/>
        <v>1+150,567645619248i</v>
      </c>
      <c r="U538" s="4">
        <f t="shared" si="478"/>
        <v>150.57096634917187</v>
      </c>
      <c r="V538" s="4">
        <f t="shared" si="479"/>
        <v>1.5641548913593097</v>
      </c>
      <c r="W538" t="str">
        <f t="shared" si="466"/>
        <v>1-39,6269630097882i</v>
      </c>
      <c r="X538" s="4">
        <f t="shared" si="480"/>
        <v>39.639578673077779</v>
      </c>
      <c r="Y538" s="4">
        <f t="shared" si="481"/>
        <v>-1.545566338651533</v>
      </c>
      <c r="Z538" t="str">
        <f t="shared" si="467"/>
        <v>-9,0475457260384+5,44442421297903i</v>
      </c>
      <c r="AA538" s="4">
        <f t="shared" si="482"/>
        <v>10.559348402038266</v>
      </c>
      <c r="AB538" s="4">
        <f t="shared" si="483"/>
        <v>2.5998822234823007</v>
      </c>
      <c r="AC538" s="47" t="str">
        <f t="shared" si="484"/>
        <v>-0,369192011338279+0,588449955659844i</v>
      </c>
      <c r="AD538" s="20">
        <f t="shared" si="485"/>
        <v>-3.1643419830831858</v>
      </c>
      <c r="AE538" s="43">
        <f t="shared" si="486"/>
        <v>122.10405590770002</v>
      </c>
      <c r="AF538" t="str">
        <f t="shared" si="468"/>
        <v>171,265703090588</v>
      </c>
      <c r="AG538" t="str">
        <f t="shared" si="469"/>
        <v>1+44026,90126373i</v>
      </c>
      <c r="AH538">
        <f t="shared" si="487"/>
        <v>44026.90127508669</v>
      </c>
      <c r="AI538">
        <f t="shared" si="488"/>
        <v>1.5707736134089638</v>
      </c>
      <c r="AJ538" t="str">
        <f t="shared" si="470"/>
        <v>1+150,567645619248i</v>
      </c>
      <c r="AK538">
        <f t="shared" si="489"/>
        <v>150.57096634917187</v>
      </c>
      <c r="AL538">
        <f t="shared" si="490"/>
        <v>1.5641548913593097</v>
      </c>
      <c r="AM538" t="str">
        <f t="shared" si="471"/>
        <v>1-12,5195265387498i</v>
      </c>
      <c r="AN538">
        <f t="shared" si="491"/>
        <v>12.559400652676883</v>
      </c>
      <c r="AO538">
        <f t="shared" si="492"/>
        <v>-1.4910903237646416</v>
      </c>
      <c r="AP538" s="41" t="str">
        <f t="shared" si="493"/>
        <v>0,537177139601362-7,33671170736324i</v>
      </c>
      <c r="AQ538">
        <f t="shared" si="494"/>
        <v>17.333248691806872</v>
      </c>
      <c r="AR538" s="43">
        <f t="shared" si="495"/>
        <v>-85.812407263724779</v>
      </c>
      <c r="AS538" t="str">
        <f t="shared" si="472"/>
        <v>-0,0000166666666666667</v>
      </c>
      <c r="AT538" t="str">
        <f t="shared" si="473"/>
        <v>0,0152658862919515i</v>
      </c>
      <c r="AU538">
        <f t="shared" si="496"/>
        <v>1.5265886291951501E-2</v>
      </c>
      <c r="AV538">
        <f t="shared" si="497"/>
        <v>1.5707963267948966</v>
      </c>
      <c r="AW538" t="str">
        <f t="shared" si="474"/>
        <v>1+70,7400875964068i</v>
      </c>
      <c r="AX538">
        <f t="shared" si="498"/>
        <v>70.747155371416213</v>
      </c>
      <c r="AY538">
        <f t="shared" si="499"/>
        <v>1.5566610121421316</v>
      </c>
      <c r="AZ538" t="str">
        <f t="shared" si="475"/>
        <v>1+3286,19861470581i</v>
      </c>
      <c r="BA538">
        <f t="shared" si="500"/>
        <v>3286.198766857292</v>
      </c>
      <c r="BB538">
        <f t="shared" si="501"/>
        <v>1.5704920238338222</v>
      </c>
      <c r="BC538" s="41" t="str">
        <f t="shared" si="502"/>
        <v>-0,000701377249004058+0,0507072468960588i</v>
      </c>
      <c r="BD538">
        <f t="shared" si="503"/>
        <v>-25.897768550431618</v>
      </c>
      <c r="BE538" s="43">
        <f t="shared" si="504"/>
        <v>90.792458596329965</v>
      </c>
      <c r="BF538" s="41" t="str">
        <f t="shared" si="505"/>
        <v>-0,0295797343103518-0,0191334358820599i</v>
      </c>
      <c r="BG538" s="20">
        <f t="shared" si="506"/>
        <v>-29.062110533514819</v>
      </c>
      <c r="BH538" s="43">
        <f t="shared" si="507"/>
        <v>-147.10348549596998</v>
      </c>
      <c r="BI538" s="41" t="str">
        <f t="shared" si="460"/>
        <v>0,371647688126071+0,0323845765187312i</v>
      </c>
      <c r="BJ538" s="20">
        <f t="shared" si="508"/>
        <v>-8.5645198586247577</v>
      </c>
      <c r="BK538" s="43">
        <f t="shared" si="461"/>
        <v>4.9800513326051972</v>
      </c>
      <c r="BL538">
        <f t="shared" si="509"/>
        <v>-29.062110533514819</v>
      </c>
      <c r="BM538" s="43">
        <f t="shared" si="510"/>
        <v>-147.10348549596998</v>
      </c>
    </row>
    <row r="539" spans="14:65" x14ac:dyDescent="0.25">
      <c r="N539" s="9">
        <v>21</v>
      </c>
      <c r="O539" s="34">
        <f t="shared" si="462"/>
        <v>1621810.0973589318</v>
      </c>
      <c r="P539" s="33" t="str">
        <f t="shared" si="463"/>
        <v>54,631621870174</v>
      </c>
      <c r="Q539" s="4" t="str">
        <f t="shared" si="464"/>
        <v>1+45487,7379806295i</v>
      </c>
      <c r="R539" s="4">
        <f t="shared" si="476"/>
        <v>45487.73799162147</v>
      </c>
      <c r="S539" s="4">
        <f t="shared" si="477"/>
        <v>1.57077434284836</v>
      </c>
      <c r="T539" s="4" t="str">
        <f t="shared" si="465"/>
        <v>1+154,074816626388i</v>
      </c>
      <c r="U539" s="4">
        <f t="shared" si="478"/>
        <v>154.07806176888093</v>
      </c>
      <c r="V539" s="4">
        <f t="shared" si="479"/>
        <v>1.5643060645918425</v>
      </c>
      <c r="W539" t="str">
        <f t="shared" si="466"/>
        <v>1-40,5499935532848i</v>
      </c>
      <c r="X539" s="4">
        <f t="shared" si="480"/>
        <v>40.562322137316528</v>
      </c>
      <c r="Y539" s="4">
        <f t="shared" si="481"/>
        <v>-1.5461404078645882</v>
      </c>
      <c r="Z539" t="str">
        <f t="shared" si="467"/>
        <v>-9,5210719675815+5,57124114414508i</v>
      </c>
      <c r="AA539" s="4">
        <f t="shared" si="482"/>
        <v>11.031298169212961</v>
      </c>
      <c r="AB539" s="4">
        <f t="shared" si="483"/>
        <v>2.6121649410177934</v>
      </c>
      <c r="AC539" s="47" t="str">
        <f t="shared" si="484"/>
        <v>-0,354270453480044+0,580934119260573i</v>
      </c>
      <c r="AD539" s="20">
        <f t="shared" si="485"/>
        <v>-3.3442650824316238</v>
      </c>
      <c r="AE539" s="43">
        <f t="shared" si="486"/>
        <v>121.37604853754947</v>
      </c>
      <c r="AF539" t="str">
        <f t="shared" si="468"/>
        <v>171,265703090588</v>
      </c>
      <c r="AG539" t="str">
        <f t="shared" si="469"/>
        <v>1+45052,4195350115i</v>
      </c>
      <c r="AH539">
        <f t="shared" si="487"/>
        <v>45052.419546109682</v>
      </c>
      <c r="AI539">
        <f t="shared" si="488"/>
        <v>1.570774130428749</v>
      </c>
      <c r="AJ539" t="str">
        <f t="shared" si="470"/>
        <v>1+154,074816626388i</v>
      </c>
      <c r="AK539">
        <f t="shared" si="489"/>
        <v>154.07806176888093</v>
      </c>
      <c r="AL539">
        <f t="shared" si="490"/>
        <v>1.5643060645918425</v>
      </c>
      <c r="AM539" t="str">
        <f t="shared" si="471"/>
        <v>1-12,8111437737755i</v>
      </c>
      <c r="AN539">
        <f t="shared" si="491"/>
        <v>12.850113026442482</v>
      </c>
      <c r="AO539">
        <f t="shared" si="492"/>
        <v>-1.4928972380925751</v>
      </c>
      <c r="AP539" s="41" t="str">
        <f t="shared" si="493"/>
        <v>0,537177135637178-7,50742708040426i</v>
      </c>
      <c r="AQ539">
        <f t="shared" si="494"/>
        <v>17.532000724515328</v>
      </c>
      <c r="AR539" s="43">
        <f t="shared" si="495"/>
        <v>-85.907303863509227</v>
      </c>
      <c r="AS539" t="str">
        <f t="shared" si="472"/>
        <v>-0,0000166666666666667</v>
      </c>
      <c r="AT539" t="str">
        <f t="shared" si="473"/>
        <v>0,0156214744635088i</v>
      </c>
      <c r="AU539">
        <f t="shared" si="496"/>
        <v>1.5621474463508801E-2</v>
      </c>
      <c r="AV539">
        <f t="shared" si="497"/>
        <v>1.5707963267948966</v>
      </c>
      <c r="AW539" t="str">
        <f t="shared" si="474"/>
        <v>1+72,3878359107295i</v>
      </c>
      <c r="AX539">
        <f t="shared" si="498"/>
        <v>72.394742819065954</v>
      </c>
      <c r="AY539">
        <f t="shared" si="499"/>
        <v>1.5569827297802015</v>
      </c>
      <c r="AZ539" t="str">
        <f t="shared" si="475"/>
        <v>1+3362,74401367116i</v>
      </c>
      <c r="BA539">
        <f t="shared" si="500"/>
        <v>3362.7441623592513</v>
      </c>
      <c r="BB539">
        <f t="shared" si="501"/>
        <v>1.5704989506144746</v>
      </c>
      <c r="BC539" s="41" t="str">
        <f t="shared" si="502"/>
        <v>-0,000669816095925186+0,0495534450398063i</v>
      </c>
      <c r="BD539">
        <f t="shared" si="503"/>
        <v>-26.097729515715422</v>
      </c>
      <c r="BE539" s="43">
        <f t="shared" si="504"/>
        <v>90.774422408770647</v>
      </c>
      <c r="BF539" s="41" t="str">
        <f t="shared" si="505"/>
        <v>-0,0285499908984754-0,0179444404695035i</v>
      </c>
      <c r="BG539" s="20">
        <f t="shared" si="506"/>
        <v>-29.441994598147048</v>
      </c>
      <c r="BH539" s="43">
        <f t="shared" si="507"/>
        <v>-147.84952905367982</v>
      </c>
      <c r="BI539" s="41" t="str">
        <f t="shared" si="460"/>
        <v>0,371659065327353+0,0316475731648769i</v>
      </c>
      <c r="BJ539" s="20">
        <f t="shared" si="508"/>
        <v>-8.565728791200101</v>
      </c>
      <c r="BK539" s="43">
        <f t="shared" si="461"/>
        <v>4.8671185452614187</v>
      </c>
      <c r="BL539">
        <f t="shared" si="509"/>
        <v>-29.441994598147048</v>
      </c>
      <c r="BM539" s="43">
        <f t="shared" si="510"/>
        <v>-147.84952905367982</v>
      </c>
    </row>
    <row r="540" spans="14:65" x14ac:dyDescent="0.25">
      <c r="N540" s="9">
        <v>22</v>
      </c>
      <c r="O540" s="34">
        <f t="shared" si="462"/>
        <v>1659586.9074375622</v>
      </c>
      <c r="P540" s="33" t="str">
        <f t="shared" si="463"/>
        <v>54,631621870174</v>
      </c>
      <c r="Q540" s="4" t="str">
        <f t="shared" si="464"/>
        <v>1+46547,2835102815i</v>
      </c>
      <c r="R540" s="4">
        <f t="shared" si="476"/>
        <v>46547.283521023259</v>
      </c>
      <c r="S540" s="4">
        <f t="shared" si="477"/>
        <v>1.5707748432640773</v>
      </c>
      <c r="T540" s="4" t="str">
        <f t="shared" si="465"/>
        <v>1+157,663680140726i</v>
      </c>
      <c r="U540" s="4">
        <f t="shared" si="478"/>
        <v>157.66685141626047</v>
      </c>
      <c r="V540" s="4">
        <f t="shared" si="479"/>
        <v>1.5644537969881374</v>
      </c>
      <c r="W540" t="str">
        <f t="shared" si="466"/>
        <v>1-41,4945242401062i</v>
      </c>
      <c r="X540" s="4">
        <f t="shared" si="480"/>
        <v>41.506572273710596</v>
      </c>
      <c r="Y540" s="4">
        <f t="shared" si="481"/>
        <v>-1.5467014253737041</v>
      </c>
      <c r="Z540" t="str">
        <f t="shared" si="467"/>
        <v>-10,0169148133527+5,7010120211099i</v>
      </c>
      <c r="AA540" s="4">
        <f t="shared" si="482"/>
        <v>11.525628852379567</v>
      </c>
      <c r="AB540" s="4">
        <f t="shared" si="483"/>
        <v>2.6241745926041817</v>
      </c>
      <c r="AC540" s="47" t="str">
        <f t="shared" si="484"/>
        <v>-0,339873874806551+0,573227564509049i</v>
      </c>
      <c r="AD540" s="20">
        <f t="shared" si="485"/>
        <v>-3.525152256939033</v>
      </c>
      <c r="AE540" s="43">
        <f t="shared" si="486"/>
        <v>120.66423802381802</v>
      </c>
      <c r="AF540" t="str">
        <f t="shared" si="468"/>
        <v>171,265703090588</v>
      </c>
      <c r="AG540" t="str">
        <f t="shared" si="469"/>
        <v>1+46101,8251954699i</v>
      </c>
      <c r="AH540">
        <f t="shared" si="487"/>
        <v>46101.825206315458</v>
      </c>
      <c r="AI540">
        <f t="shared" si="488"/>
        <v>1.570774635679727</v>
      </c>
      <c r="AJ540" t="str">
        <f t="shared" si="470"/>
        <v>1+157,663680140726i</v>
      </c>
      <c r="AK540">
        <f t="shared" si="489"/>
        <v>157.66685141626047</v>
      </c>
      <c r="AL540">
        <f t="shared" si="490"/>
        <v>1.5644537969881374</v>
      </c>
      <c r="AM540" t="str">
        <f t="shared" si="471"/>
        <v>1-13,1095536468058i</v>
      </c>
      <c r="AN540">
        <f t="shared" si="491"/>
        <v>13.147638450249508</v>
      </c>
      <c r="AO540">
        <f t="shared" si="492"/>
        <v>-1.4946635146839962</v>
      </c>
      <c r="AP540" s="41" t="str">
        <f t="shared" si="493"/>
        <v>0,537177131851411-7,68212299065602i</v>
      </c>
      <c r="AQ540">
        <f t="shared" si="494"/>
        <v>17.730808594743664</v>
      </c>
      <c r="AR540" s="43">
        <f t="shared" si="495"/>
        <v>-86.000068563594027</v>
      </c>
      <c r="AS540" t="str">
        <f t="shared" si="472"/>
        <v>-0,0000166666666666667</v>
      </c>
      <c r="AT540" t="str">
        <f t="shared" si="473"/>
        <v>0,0159853453476013i</v>
      </c>
      <c r="AU540">
        <f t="shared" si="496"/>
        <v>1.59853453476013E-2</v>
      </c>
      <c r="AV540">
        <f t="shared" si="497"/>
        <v>1.5707963267948966</v>
      </c>
      <c r="AW540" t="str">
        <f t="shared" si="474"/>
        <v>1+74,0739652138189i</v>
      </c>
      <c r="AX540">
        <f t="shared" si="498"/>
        <v>74.080714916218582</v>
      </c>
      <c r="AY540">
        <f t="shared" si="499"/>
        <v>1.5572971269940321</v>
      </c>
      <c r="AZ540" t="str">
        <f t="shared" si="475"/>
        <v>1+3441,07238402377i</v>
      </c>
      <c r="BA540">
        <f t="shared" si="500"/>
        <v>3441.0725293273072</v>
      </c>
      <c r="BB540">
        <f t="shared" si="501"/>
        <v>1.5705057197223771</v>
      </c>
      <c r="BC540" s="41" t="str">
        <f t="shared" si="502"/>
        <v>-0,000639674898855691+0,0484258778262454i</v>
      </c>
      <c r="BD540">
        <f t="shared" si="503"/>
        <v>-26.297692237522909</v>
      </c>
      <c r="BE540" s="43">
        <f t="shared" si="504"/>
        <v>90.756796616641353</v>
      </c>
      <c r="BF540" s="41" t="str">
        <f t="shared" si="505"/>
        <v>-0,0275416392190608-0,0168253700220633i</v>
      </c>
      <c r="BG540" s="20">
        <f t="shared" si="506"/>
        <v>-29.822844494461947</v>
      </c>
      <c r="BH540" s="43">
        <f t="shared" si="507"/>
        <v>-148.57896535954055</v>
      </c>
      <c r="BI540" s="41" t="str">
        <f t="shared" si="460"/>
        <v>0,371669930664215+0,0309273354051342i</v>
      </c>
      <c r="BJ540" s="20">
        <f t="shared" si="508"/>
        <v>-8.5668836427792385</v>
      </c>
      <c r="BK540" s="43">
        <f t="shared" si="461"/>
        <v>4.7567280530473255</v>
      </c>
      <c r="BL540">
        <f t="shared" si="509"/>
        <v>-29.822844494461947</v>
      </c>
      <c r="BM540" s="43">
        <f t="shared" si="510"/>
        <v>-148.57896535954055</v>
      </c>
    </row>
    <row r="541" spans="14:65" x14ac:dyDescent="0.25">
      <c r="N541" s="9">
        <v>23</v>
      </c>
      <c r="O541" s="34">
        <f t="shared" si="462"/>
        <v>1698243.6524617488</v>
      </c>
      <c r="P541" s="33" t="str">
        <f t="shared" si="463"/>
        <v>54,631621870174</v>
      </c>
      <c r="Q541" s="4" t="str">
        <f t="shared" si="464"/>
        <v>1+47631,5090257768i</v>
      </c>
      <c r="R541" s="4">
        <f t="shared" si="476"/>
        <v>47631.509036274052</v>
      </c>
      <c r="S541" s="4">
        <f t="shared" si="477"/>
        <v>1.5707753322889424</v>
      </c>
      <c r="T541" s="4" t="str">
        <f t="shared" si="465"/>
        <v>1+161,3361390252i</v>
      </c>
      <c r="U541" s="4">
        <f t="shared" si="478"/>
        <v>161.33923811509297</v>
      </c>
      <c r="V541" s="4">
        <f t="shared" si="479"/>
        <v>1.5645981668520574</v>
      </c>
      <c r="W541" t="str">
        <f t="shared" si="466"/>
        <v>1-42,4610558729248i</v>
      </c>
      <c r="X541" s="4">
        <f t="shared" si="480"/>
        <v>42.472829736710992</v>
      </c>
      <c r="Y541" s="4">
        <f t="shared" si="481"/>
        <v>-1.5472496872243802</v>
      </c>
      <c r="Z541" t="str">
        <f t="shared" si="467"/>
        <v>-10,5361260125066+5,83380565011013i</v>
      </c>
      <c r="AA541" s="4">
        <f t="shared" si="482"/>
        <v>12.04338987638759</v>
      </c>
      <c r="AB541" s="4">
        <f t="shared" si="483"/>
        <v>2.6359166282014326</v>
      </c>
      <c r="AC541" s="47" t="str">
        <f t="shared" si="484"/>
        <v>-0,325991111283099+0,565355311996357i</v>
      </c>
      <c r="AD541" s="20">
        <f t="shared" si="485"/>
        <v>-3.7069558891304939</v>
      </c>
      <c r="AE541" s="43">
        <f t="shared" si="486"/>
        <v>119.96829961592208</v>
      </c>
      <c r="AF541" t="str">
        <f t="shared" si="468"/>
        <v>171,265703090588</v>
      </c>
      <c r="AG541" t="str">
        <f t="shared" si="469"/>
        <v>1+47175,674653877i</v>
      </c>
      <c r="AH541">
        <f t="shared" si="487"/>
        <v>47175.674664475693</v>
      </c>
      <c r="AI541">
        <f t="shared" si="488"/>
        <v>1.5707751294297887</v>
      </c>
      <c r="AJ541" t="str">
        <f t="shared" si="470"/>
        <v>1+161,3361390252i</v>
      </c>
      <c r="AK541">
        <f t="shared" si="489"/>
        <v>161.33923811509297</v>
      </c>
      <c r="AL541">
        <f t="shared" si="490"/>
        <v>1.5645981668520574</v>
      </c>
      <c r="AM541" t="str">
        <f t="shared" si="471"/>
        <v>1-13,414914378705i</v>
      </c>
      <c r="AN541">
        <f t="shared" si="491"/>
        <v>13.452134692604968</v>
      </c>
      <c r="AO541">
        <f t="shared" si="492"/>
        <v>-1.496390045935003</v>
      </c>
      <c r="AP541" s="41" t="str">
        <f t="shared" si="493"/>
        <v>0,537177128236032-7,86089206420222i</v>
      </c>
      <c r="AQ541">
        <f t="shared" si="494"/>
        <v>17.929669818284204</v>
      </c>
      <c r="AR541" s="43">
        <f t="shared" si="495"/>
        <v>-86.090748023377301</v>
      </c>
      <c r="AS541" t="str">
        <f t="shared" si="472"/>
        <v>-0,0000166666666666667</v>
      </c>
      <c r="AT541" t="str">
        <f t="shared" si="473"/>
        <v>0,0163576918733882i</v>
      </c>
      <c r="AU541">
        <f t="shared" si="496"/>
        <v>1.6357691873388199E-2</v>
      </c>
      <c r="AV541">
        <f t="shared" si="497"/>
        <v>1.5707963267948966</v>
      </c>
      <c r="AW541" t="str">
        <f t="shared" si="474"/>
        <v>1+75,7993695137497i</v>
      </c>
      <c r="AX541">
        <f t="shared" si="498"/>
        <v>75.805965587689499</v>
      </c>
      <c r="AY541">
        <f t="shared" si="499"/>
        <v>1.5576043702324311</v>
      </c>
      <c r="AZ541" t="str">
        <f t="shared" si="475"/>
        <v>1+3521,22525650237i</v>
      </c>
      <c r="BA541">
        <f t="shared" si="500"/>
        <v>3521.2253984983954</v>
      </c>
      <c r="BB541">
        <f t="shared" si="501"/>
        <v>1.5705123347465977</v>
      </c>
      <c r="BC541" s="41" t="str">
        <f t="shared" si="502"/>
        <v>-0,00061088979585822+0,0473239500231236i</v>
      </c>
      <c r="BD541">
        <f t="shared" si="503"/>
        <v>-26.497656636826473</v>
      </c>
      <c r="BE541" s="43">
        <f t="shared" si="504"/>
        <v>90.739571888766378</v>
      </c>
      <c r="BF541" s="41" t="str">
        <f t="shared" si="505"/>
        <v>-0,0265557018867997-0,0157725568494767i</v>
      </c>
      <c r="BG541" s="20">
        <f t="shared" si="506"/>
        <v>-30.204612525956978</v>
      </c>
      <c r="BH541" s="43">
        <f t="shared" si="507"/>
        <v>-149.29212849531152</v>
      </c>
      <c r="BI541" s="41" t="str">
        <f t="shared" si="460"/>
        <v>0,371680307157267+0,030223482318571i</v>
      </c>
      <c r="BJ541" s="20">
        <f t="shared" si="508"/>
        <v>-8.5679868185422734</v>
      </c>
      <c r="BK541" s="43">
        <f t="shared" si="461"/>
        <v>4.6488238653890797</v>
      </c>
      <c r="BL541">
        <f t="shared" si="509"/>
        <v>-30.204612525956978</v>
      </c>
      <c r="BM541" s="43">
        <f t="shared" si="510"/>
        <v>-149.29212849531152</v>
      </c>
    </row>
    <row r="542" spans="14:65" x14ac:dyDescent="0.25">
      <c r="N542" s="9">
        <v>24</v>
      </c>
      <c r="O542" s="34">
        <f t="shared" si="462"/>
        <v>1737800.8287493798</v>
      </c>
      <c r="P542" s="33" t="str">
        <f t="shared" si="463"/>
        <v>54,631621870174</v>
      </c>
      <c r="Q542" s="4" t="str">
        <f t="shared" si="464"/>
        <v>1+48740,9893978346i</v>
      </c>
      <c r="R542" s="4">
        <f t="shared" si="476"/>
        <v>48740.989408092908</v>
      </c>
      <c r="S542" s="4">
        <f t="shared" si="477"/>
        <v>1.5707758101822424</v>
      </c>
      <c r="T542" s="4" t="str">
        <f t="shared" si="465"/>
        <v>1+165,094140466119i</v>
      </c>
      <c r="U542" s="4">
        <f t="shared" si="478"/>
        <v>165.09716901342259</v>
      </c>
      <c r="V542" s="4">
        <f t="shared" si="479"/>
        <v>1.5647392507063296</v>
      </c>
      <c r="W542" t="str">
        <f t="shared" si="466"/>
        <v>1-43,4501009196053i</v>
      </c>
      <c r="X542" s="4">
        <f t="shared" si="480"/>
        <v>43.461606849308794</v>
      </c>
      <c r="Y542" s="4">
        <f t="shared" si="481"/>
        <v>-1.5477854827931303</v>
      </c>
      <c r="Z542" t="str">
        <f t="shared" si="467"/>
        <v>-11,0798068816081+5,96969244008553i</v>
      </c>
      <c r="AA542" s="4">
        <f t="shared" si="482"/>
        <v>12.585680290033769</v>
      </c>
      <c r="AB542" s="4">
        <f t="shared" si="483"/>
        <v>2.6473964564013035</v>
      </c>
      <c r="AC542" s="47" t="str">
        <f t="shared" si="484"/>
        <v>-0,312610477354091+0,557340824294187i</v>
      </c>
      <c r="AD542" s="20">
        <f t="shared" si="485"/>
        <v>-3.8896307431162085</v>
      </c>
      <c r="AE542" s="43">
        <f t="shared" si="486"/>
        <v>119.28791121390113</v>
      </c>
      <c r="AF542" t="str">
        <f t="shared" si="468"/>
        <v>171,265703090588</v>
      </c>
      <c r="AG542" t="str">
        <f t="shared" si="469"/>
        <v>1+48274,5372794288i</v>
      </c>
      <c r="AH542">
        <f t="shared" si="487"/>
        <v>48274.537289786225</v>
      </c>
      <c r="AI542">
        <f t="shared" si="488"/>
        <v>1.5707756119407268</v>
      </c>
      <c r="AJ542" t="str">
        <f t="shared" si="470"/>
        <v>1+165,094140466119i</v>
      </c>
      <c r="AK542">
        <f t="shared" si="489"/>
        <v>165.09716901342259</v>
      </c>
      <c r="AL542">
        <f t="shared" si="490"/>
        <v>1.5647392507063296</v>
      </c>
      <c r="AM542" t="str">
        <f t="shared" si="471"/>
        <v>1-13,7273878757751i</v>
      </c>
      <c r="AN542">
        <f t="shared" si="491"/>
        <v>13.763763216939516</v>
      </c>
      <c r="AO542">
        <f t="shared" si="492"/>
        <v>-1.4980777060792019</v>
      </c>
      <c r="AP542" s="41" t="str">
        <f t="shared" si="493"/>
        <v>0,537177124783368-8,04382908677201i</v>
      </c>
      <c r="AQ542">
        <f t="shared" si="494"/>
        <v>18.128582020216054</v>
      </c>
      <c r="AR542" s="43">
        <f t="shared" si="495"/>
        <v>-86.179387963325439</v>
      </c>
      <c r="AS542" t="str">
        <f t="shared" si="472"/>
        <v>-0,0000166666666666667</v>
      </c>
      <c r="AT542" t="str">
        <f t="shared" si="473"/>
        <v>0,016738711463926i</v>
      </c>
      <c r="AU542">
        <f t="shared" si="496"/>
        <v>1.6738711463926002E-2</v>
      </c>
      <c r="AV542">
        <f t="shared" si="497"/>
        <v>1.5707963267948966</v>
      </c>
      <c r="AW542" t="str">
        <f t="shared" si="474"/>
        <v>1+77,564963642719i</v>
      </c>
      <c r="AX542">
        <f t="shared" si="498"/>
        <v>77.571409584307006</v>
      </c>
      <c r="AY542">
        <f t="shared" si="499"/>
        <v>1.5579046221676707</v>
      </c>
      <c r="AZ542" t="str">
        <f t="shared" si="475"/>
        <v>1+3603,24512922086i</v>
      </c>
      <c r="BA542">
        <f t="shared" si="500"/>
        <v>3603.2452679846606</v>
      </c>
      <c r="BB542">
        <f t="shared" si="501"/>
        <v>1.5705187991945075</v>
      </c>
      <c r="BC542" s="41" t="str">
        <f t="shared" si="502"/>
        <v>-0,000583399795156486+0,0462470798178524i</v>
      </c>
      <c r="BD542">
        <f t="shared" si="503"/>
        <v>-26.697622638152659</v>
      </c>
      <c r="BE542" s="43">
        <f t="shared" si="504"/>
        <v>90.722739105668637</v>
      </c>
      <c r="BF542" s="41" t="str">
        <f t="shared" si="505"/>
        <v>-0,0255930086984288-0,0147824742208172i</v>
      </c>
      <c r="BG542" s="20">
        <f t="shared" si="506"/>
        <v>-30.587253381268855</v>
      </c>
      <c r="BH542" s="43">
        <f t="shared" si="507"/>
        <v>-149.98934968043019</v>
      </c>
      <c r="BI542" s="41" t="str">
        <f t="shared" si="460"/>
        <v>0,371690216792547+0,0295356416076775i</v>
      </c>
      <c r="BJ542" s="20">
        <f t="shared" si="508"/>
        <v>-8.569040617936599</v>
      </c>
      <c r="BK542" s="43">
        <f t="shared" si="461"/>
        <v>4.5433511423432149</v>
      </c>
      <c r="BL542">
        <f t="shared" si="509"/>
        <v>-30.587253381268855</v>
      </c>
      <c r="BM542" s="43">
        <f t="shared" si="510"/>
        <v>-149.98934968043019</v>
      </c>
    </row>
    <row r="543" spans="14:65" x14ac:dyDescent="0.25">
      <c r="N543" s="9">
        <v>25</v>
      </c>
      <c r="O543" s="34">
        <f t="shared" si="462"/>
        <v>1778279.4100389241</v>
      </c>
      <c r="P543" s="33" t="str">
        <f t="shared" si="463"/>
        <v>54,631621870174</v>
      </c>
      <c r="Q543" s="4" t="str">
        <f t="shared" si="464"/>
        <v>1+49876,3128876344i</v>
      </c>
      <c r="R543" s="4">
        <f t="shared" si="476"/>
        <v>49876.312897659198</v>
      </c>
      <c r="S543" s="4">
        <f t="shared" si="477"/>
        <v>1.5707762771973628</v>
      </c>
      <c r="T543" s="4" t="str">
        <f t="shared" si="465"/>
        <v>1+168,939677005594i</v>
      </c>
      <c r="U543" s="4">
        <f t="shared" si="478"/>
        <v>168.94263661596628</v>
      </c>
      <c r="V543" s="4">
        <f t="shared" si="479"/>
        <v>1.5648771233330021</v>
      </c>
      <c r="W543" t="str">
        <f t="shared" si="466"/>
        <v>1-44,4621837849234i</v>
      </c>
      <c r="X543" s="4">
        <f t="shared" si="480"/>
        <v>44.473427874679338</v>
      </c>
      <c r="Y543" s="4">
        <f t="shared" si="481"/>
        <v>-1.5483090949346361</v>
      </c>
      <c r="Z543" t="str">
        <f t="shared" si="467"/>
        <v>-11,6491106406735+6,10874444001089i</v>
      </c>
      <c r="AA543" s="4">
        <f t="shared" si="482"/>
        <v>13.153651103477563</v>
      </c>
      <c r="AB543" s="4">
        <f t="shared" si="483"/>
        <v>2.6586194370496385</v>
      </c>
      <c r="AC543" s="47" t="str">
        <f t="shared" si="484"/>
        <v>-0,299719867743487+0,549206063802488i</v>
      </c>
      <c r="AD543" s="20">
        <f t="shared" si="485"/>
        <v>-4.0731338523225302</v>
      </c>
      <c r="AE543" s="43">
        <f t="shared" si="486"/>
        <v>118.62275378500779</v>
      </c>
      <c r="AF543" t="str">
        <f t="shared" si="468"/>
        <v>171,265703090588</v>
      </c>
      <c r="AG543" t="str">
        <f t="shared" si="469"/>
        <v>1+49398,9957036353i</v>
      </c>
      <c r="AH543">
        <f t="shared" si="487"/>
        <v>49398.995713756965</v>
      </c>
      <c r="AI543">
        <f t="shared" si="488"/>
        <v>1.5707760834683751</v>
      </c>
      <c r="AJ543" t="str">
        <f t="shared" si="470"/>
        <v>1+168,939677005594i</v>
      </c>
      <c r="AK543">
        <f t="shared" si="489"/>
        <v>168.94263661596628</v>
      </c>
      <c r="AL543">
        <f t="shared" si="490"/>
        <v>1.5648771233330021</v>
      </c>
      <c r="AM543" t="str">
        <f t="shared" si="471"/>
        <v>1-14,0471398156004i</v>
      </c>
      <c r="AN543">
        <f t="shared" si="491"/>
        <v>14.082689267289329</v>
      </c>
      <c r="AO543">
        <f t="shared" si="492"/>
        <v>-1.4997273514604914</v>
      </c>
      <c r="AP543" s="41" t="str">
        <f t="shared" si="493"/>
        <v>0,537177121486105-8,23103105399633i</v>
      </c>
      <c r="AQ543">
        <f t="shared" si="494"/>
        <v>18.327542930205226</v>
      </c>
      <c r="AR543" s="43">
        <f t="shared" si="495"/>
        <v>-86.26603317829202</v>
      </c>
      <c r="AS543" t="str">
        <f t="shared" si="472"/>
        <v>-0,0000166666666666667</v>
      </c>
      <c r="AT543" t="str">
        <f t="shared" si="473"/>
        <v>0,017128606140845i</v>
      </c>
      <c r="AU543">
        <f t="shared" si="496"/>
        <v>1.7128606140845E-2</v>
      </c>
      <c r="AV543">
        <f t="shared" si="497"/>
        <v>1.5707963267948966</v>
      </c>
      <c r="AW543" t="str">
        <f t="shared" si="474"/>
        <v>1+79,3716837421054i</v>
      </c>
      <c r="AX543">
        <f t="shared" si="498"/>
        <v>79.37798296792883</v>
      </c>
      <c r="AY543">
        <f t="shared" si="499"/>
        <v>1.5581980417806323</v>
      </c>
      <c r="AZ543" t="str">
        <f t="shared" si="475"/>
        <v>1+3687,17549020145i</v>
      </c>
      <c r="BA543">
        <f t="shared" si="500"/>
        <v>3687.1756258066011</v>
      </c>
      <c r="BB543">
        <f t="shared" si="501"/>
        <v>1.5705251164936405</v>
      </c>
      <c r="BC543" s="41" t="str">
        <f t="shared" si="502"/>
        <v>-0,000557146646317196+0,0451946985206708i</v>
      </c>
      <c r="BD543">
        <f t="shared" si="503"/>
        <v>-26.897590169422493</v>
      </c>
      <c r="BE543" s="43">
        <f t="shared" si="504"/>
        <v>90.706289354797804</v>
      </c>
      <c r="BF543" s="41" t="str">
        <f t="shared" si="505"/>
        <v>-0,0246542145601298-0,0138517373799068i</v>
      </c>
      <c r="BG543" s="20">
        <f t="shared" si="506"/>
        <v>-30.970724021745035</v>
      </c>
      <c r="BH543" s="43">
        <f t="shared" si="507"/>
        <v>-150.67095686019445</v>
      </c>
      <c r="BI543" s="41" t="str">
        <f t="shared" si="460"/>
        <v>0,371699680567929+0,028863449405233i</v>
      </c>
      <c r="BJ543" s="20">
        <f t="shared" si="508"/>
        <v>-8.5700472392172689</v>
      </c>
      <c r="BK543" s="43">
        <f t="shared" si="461"/>
        <v>4.4402561765057866</v>
      </c>
      <c r="BL543">
        <f t="shared" si="509"/>
        <v>-30.970724021745035</v>
      </c>
      <c r="BM543" s="43">
        <f t="shared" si="510"/>
        <v>-150.67095686019445</v>
      </c>
    </row>
    <row r="544" spans="14:65" x14ac:dyDescent="0.25">
      <c r="N544" s="9">
        <v>26</v>
      </c>
      <c r="O544" s="34">
        <f t="shared" si="462"/>
        <v>1819700.8586099846</v>
      </c>
      <c r="P544" s="33" t="str">
        <f t="shared" si="463"/>
        <v>54,631621870174</v>
      </c>
      <c r="Q544" s="4" t="str">
        <f t="shared" si="464"/>
        <v>1+51038,0814587187i</v>
      </c>
      <c r="R544" s="4">
        <f t="shared" si="476"/>
        <v>51038.081468515302</v>
      </c>
      <c r="S544" s="4">
        <f t="shared" si="477"/>
        <v>1.5707767335819214</v>
      </c>
      <c r="T544" s="4" t="str">
        <f t="shared" si="465"/>
        <v>1+172,874787597998i</v>
      </c>
      <c r="U544" s="4">
        <f t="shared" si="478"/>
        <v>172.87767984055353</v>
      </c>
      <c r="V544" s="4">
        <f t="shared" si="479"/>
        <v>1.5650118578129881</v>
      </c>
      <c r="W544" t="str">
        <f t="shared" si="466"/>
        <v>1-45,4978410886112i</v>
      </c>
      <c r="X544" s="4">
        <f t="shared" si="480"/>
        <v>45.508829294154758</v>
      </c>
      <c r="Y544" s="4">
        <f t="shared" si="481"/>
        <v>-1.5488208001258592</v>
      </c>
      <c r="Z544" t="str">
        <f t="shared" si="467"/>
        <v>-12,2452448593036+6,25103537709717i</v>
      </c>
      <c r="AA544" s="4">
        <f t="shared" si="482"/>
        <v>13.748507735387925</v>
      </c>
      <c r="AB544" s="4">
        <f t="shared" si="483"/>
        <v>2.6695908748055195</v>
      </c>
      <c r="AC544" s="47" t="str">
        <f t="shared" si="484"/>
        <v>-0,287306849625106+0,540971552474664i</v>
      </c>
      <c r="AD544" s="20">
        <f t="shared" si="485"/>
        <v>-4.2574244108998922</v>
      </c>
      <c r="AE544" s="43">
        <f t="shared" si="486"/>
        <v>117.97251172674231</v>
      </c>
      <c r="AF544" t="str">
        <f t="shared" si="468"/>
        <v>171,265703090588</v>
      </c>
      <c r="AG544" t="str">
        <f t="shared" si="469"/>
        <v>1+50549,6461292371i</v>
      </c>
      <c r="AH544">
        <f t="shared" si="487"/>
        <v>50549.646139128359</v>
      </c>
      <c r="AI544">
        <f t="shared" si="488"/>
        <v>1.5707765442627437</v>
      </c>
      <c r="AJ544" t="str">
        <f t="shared" si="470"/>
        <v>1+172,874787597998i</v>
      </c>
      <c r="AK544">
        <f t="shared" si="489"/>
        <v>172.87767984055353</v>
      </c>
      <c r="AL544">
        <f t="shared" si="490"/>
        <v>1.5650118578129881</v>
      </c>
      <c r="AM544" t="str">
        <f t="shared" si="471"/>
        <v>1-14,3743397348919i</v>
      </c>
      <c r="AN544">
        <f t="shared" si="491"/>
        <v>14.409081955978046</v>
      </c>
      <c r="AO544">
        <f t="shared" si="492"/>
        <v>-1.501339820808711</v>
      </c>
      <c r="AP544" s="41" t="str">
        <f t="shared" si="493"/>
        <v>0,537177118337241-8,42259722283605i</v>
      </c>
      <c r="AQ544">
        <f t="shared" si="494"/>
        <v>18.526550377997417</v>
      </c>
      <c r="AR544" s="43">
        <f t="shared" si="495"/>
        <v>-86.35072755105368</v>
      </c>
      <c r="AS544" t="str">
        <f t="shared" si="472"/>
        <v>-0,0000166666666666667</v>
      </c>
      <c r="AT544" t="str">
        <f t="shared" si="473"/>
        <v>0,0175275826314638i</v>
      </c>
      <c r="AU544">
        <f t="shared" si="496"/>
        <v>1.7527582631463801E-2</v>
      </c>
      <c r="AV544">
        <f t="shared" si="497"/>
        <v>1.5707963267948966</v>
      </c>
      <c r="AW544" t="str">
        <f t="shared" si="474"/>
        <v>1+81,2204877588209i</v>
      </c>
      <c r="AX544">
        <f t="shared" si="498"/>
        <v>81.226643607752109</v>
      </c>
      <c r="AY544">
        <f t="shared" si="499"/>
        <v>1.558484784444067</v>
      </c>
      <c r="AZ544" t="str">
        <f t="shared" si="475"/>
        <v>1+3773,0608404325i</v>
      </c>
      <c r="BA544">
        <f t="shared" si="500"/>
        <v>3773.060972950901</v>
      </c>
      <c r="BB544">
        <f t="shared" si="501"/>
        <v>1.57053128999351</v>
      </c>
      <c r="BC544" s="41" t="str">
        <f t="shared" si="502"/>
        <v>-0,000532074717198133+0,0441662502739894i</v>
      </c>
      <c r="BD544">
        <f t="shared" si="503"/>
        <v>-27.097559161799211</v>
      </c>
      <c r="BE544" s="43">
        <f t="shared" si="504"/>
        <v>90.690213925864001</v>
      </c>
      <c r="BF544" s="41" t="str">
        <f t="shared" si="505"/>
        <v>-0,0237398162669412-0,0129771035117691i</v>
      </c>
      <c r="BG544" s="20">
        <f t="shared" si="506"/>
        <v>-31.354983572699105</v>
      </c>
      <c r="BH544" s="43">
        <f t="shared" si="507"/>
        <v>-151.33727434739359</v>
      </c>
      <c r="BI544" s="41" t="str">
        <f t="shared" si="460"/>
        <v>0,37170871853746+0,0282065500853573i</v>
      </c>
      <c r="BJ544" s="20">
        <f t="shared" si="508"/>
        <v>-8.5710087838018048</v>
      </c>
      <c r="BK544" s="43">
        <f t="shared" si="461"/>
        <v>4.3394863748103392</v>
      </c>
      <c r="BL544">
        <f t="shared" si="509"/>
        <v>-31.354983572699105</v>
      </c>
      <c r="BM544" s="43">
        <f t="shared" si="510"/>
        <v>-151.33727434739359</v>
      </c>
    </row>
    <row r="545" spans="14:65" x14ac:dyDescent="0.25">
      <c r="N545" s="9">
        <v>27</v>
      </c>
      <c r="O545" s="34">
        <f t="shared" si="462"/>
        <v>1862087.1366628683</v>
      </c>
      <c r="P545" s="33" t="str">
        <f t="shared" si="463"/>
        <v>54,631621870174</v>
      </c>
      <c r="Q545" s="4" t="str">
        <f t="shared" si="464"/>
        <v>1+52226,9110961611i</v>
      </c>
      <c r="R545" s="4">
        <f t="shared" si="476"/>
        <v>52226.911105734711</v>
      </c>
      <c r="S545" s="4">
        <f t="shared" si="477"/>
        <v>1.5707771795778989</v>
      </c>
      <c r="T545" s="4" t="str">
        <f t="shared" si="465"/>
        <v>1+176,901558691055i</v>
      </c>
      <c r="U545" s="4">
        <f t="shared" si="478"/>
        <v>176.90438509919636</v>
      </c>
      <c r="V545" s="4">
        <f t="shared" si="479"/>
        <v>1.5651435255647137</v>
      </c>
      <c r="W545" t="str">
        <f t="shared" si="466"/>
        <v>1-46,5576219498792i</v>
      </c>
      <c r="X545" s="4">
        <f t="shared" si="480"/>
        <v>46.56836009167462</v>
      </c>
      <c r="Y545" s="4">
        <f t="shared" si="481"/>
        <v>-1.5493208686071622</v>
      </c>
      <c r="Z545" t="str">
        <f t="shared" si="467"/>
        <v>-12,8694740181012+6,39664069588261i</v>
      </c>
      <c r="AA545" s="4">
        <f t="shared" si="482"/>
        <v>14.371512575049415</v>
      </c>
      <c r="AB545" s="4">
        <f t="shared" si="483"/>
        <v>2.6803160135542368</v>
      </c>
      <c r="AC545" s="47" t="str">
        <f t="shared" si="484"/>
        <v>-0,275358745762998+0,53265643269542i</v>
      </c>
      <c r="AD545" s="20">
        <f t="shared" si="485"/>
        <v>-4.4424636689599062</v>
      </c>
      <c r="AE545" s="43">
        <f t="shared" si="486"/>
        <v>117.336873181087</v>
      </c>
      <c r="AF545" t="str">
        <f t="shared" si="468"/>
        <v>171,265703090588</v>
      </c>
      <c r="AG545" t="str">
        <f t="shared" si="469"/>
        <v>1+51727,0986463203i</v>
      </c>
      <c r="AH545">
        <f t="shared" si="487"/>
        <v>51727.09865598641</v>
      </c>
      <c r="AI545">
        <f t="shared" si="488"/>
        <v>1.570776994568152</v>
      </c>
      <c r="AJ545" t="str">
        <f t="shared" si="470"/>
        <v>1+176,901558691055i</v>
      </c>
      <c r="AK545">
        <f t="shared" si="489"/>
        <v>176.90438509919636</v>
      </c>
      <c r="AL545">
        <f t="shared" si="490"/>
        <v>1.5651435255647137</v>
      </c>
      <c r="AM545" t="str">
        <f t="shared" si="471"/>
        <v>1-14,7091611193776i</v>
      </c>
      <c r="AN545">
        <f t="shared" si="491"/>
        <v>14.743114353345078</v>
      </c>
      <c r="AO545">
        <f t="shared" si="492"/>
        <v>-1.5029159355175166</v>
      </c>
      <c r="AP545" s="41" t="str">
        <f t="shared" si="493"/>
        <v>0,537177115330097-8,61862916420949i</v>
      </c>
      <c r="AQ545">
        <f t="shared" si="494"/>
        <v>18.725602289096738</v>
      </c>
      <c r="AR545" s="43">
        <f t="shared" si="495"/>
        <v>-86.433514066024259</v>
      </c>
      <c r="AS545" t="str">
        <f t="shared" si="472"/>
        <v>-0,0000166666666666667</v>
      </c>
      <c r="AT545" t="str">
        <f t="shared" si="473"/>
        <v>0,0179358524783987i</v>
      </c>
      <c r="AU545">
        <f t="shared" si="496"/>
        <v>1.7935852478398701E-2</v>
      </c>
      <c r="AV545">
        <f t="shared" si="497"/>
        <v>1.5707963267948966</v>
      </c>
      <c r="AW545" t="str">
        <f t="shared" si="474"/>
        <v>1+83,1123559532261i</v>
      </c>
      <c r="AX545">
        <f t="shared" si="498"/>
        <v>83.118371688187921</v>
      </c>
      <c r="AY545">
        <f t="shared" si="499"/>
        <v>1.5587650020040111</v>
      </c>
      <c r="AZ545" t="str">
        <f t="shared" si="475"/>
        <v>1+3860,94671746351i</v>
      </c>
      <c r="BA545">
        <f t="shared" si="500"/>
        <v>3860.9468469654244</v>
      </c>
      <c r="BB545">
        <f t="shared" si="501"/>
        <v>1.5705373229673856</v>
      </c>
      <c r="BC545" s="41" t="str">
        <f t="shared" si="502"/>
        <v>-0,000508130876405596+0,0431611917678184i</v>
      </c>
      <c r="BD545">
        <f t="shared" si="503"/>
        <v>-27.297529549541906</v>
      </c>
      <c r="BE545" s="43">
        <f t="shared" si="504"/>
        <v>90.674504306274741</v>
      </c>
      <c r="BF545" s="41" t="str">
        <f t="shared" si="505"/>
        <v>-0,0228501681571186-0,0121554708107913i</v>
      </c>
      <c r="BG545" s="20">
        <f t="shared" si="506"/>
        <v>-31.739993218501805</v>
      </c>
      <c r="BH545" s="43">
        <f t="shared" si="507"/>
        <v>-151.9886225126383</v>
      </c>
      <c r="BI545" s="41" t="str">
        <f t="shared" si="460"/>
        <v>0,371717349853761+0,0275645960786704i</v>
      </c>
      <c r="BJ545" s="20">
        <f t="shared" si="508"/>
        <v>-8.5719272604451611</v>
      </c>
      <c r="BK545" s="43">
        <f t="shared" si="461"/>
        <v>4.2409902402504827</v>
      </c>
      <c r="BL545">
        <f t="shared" si="509"/>
        <v>-31.739993218501805</v>
      </c>
      <c r="BM545" s="43">
        <f t="shared" si="510"/>
        <v>-151.9886225126383</v>
      </c>
    </row>
    <row r="546" spans="14:65" x14ac:dyDescent="0.25">
      <c r="N546" s="9">
        <v>28</v>
      </c>
      <c r="O546" s="34">
        <f t="shared" si="462"/>
        <v>1905460.7179632513</v>
      </c>
      <c r="P546" s="33" t="str">
        <f t="shared" si="463"/>
        <v>54,631621870174</v>
      </c>
      <c r="Q546" s="4" t="str">
        <f t="shared" si="464"/>
        <v>1+53443,432133172i</v>
      </c>
      <c r="R546" s="4">
        <f t="shared" si="476"/>
        <v>53443.432142527687</v>
      </c>
      <c r="S546" s="4">
        <f t="shared" si="477"/>
        <v>1.5707776154217687</v>
      </c>
      <c r="T546" s="4" t="str">
        <f t="shared" si="465"/>
        <v>1+181,022125332101i</v>
      </c>
      <c r="U546" s="4">
        <f t="shared" si="478"/>
        <v>181.02488740433145</v>
      </c>
      <c r="V546" s="4">
        <f t="shared" si="479"/>
        <v>1.5652721963818925</v>
      </c>
      <c r="W546" t="str">
        <f t="shared" si="466"/>
        <v>1-47,6420882785684i</v>
      </c>
      <c r="X546" s="4">
        <f t="shared" si="480"/>
        <v>47.652582044868296</v>
      </c>
      <c r="Y546" s="4">
        <f t="shared" si="481"/>
        <v>-1.549809564520489</v>
      </c>
      <c r="Z546" t="str">
        <f t="shared" si="467"/>
        <v>-13,5231221908043+6,54563759823461i</v>
      </c>
      <c r="AA546" s="4">
        <f t="shared" si="482"/>
        <v>15.02398766489264</v>
      </c>
      <c r="AB546" s="4">
        <f t="shared" si="483"/>
        <v>2.6908000315962863</v>
      </c>
      <c r="AC546" s="47" t="str">
        <f t="shared" si="484"/>
        <v>-0,263862709220046+0,524278528688089i</v>
      </c>
      <c r="AD546" s="20">
        <f t="shared" si="485"/>
        <v>-4.6282148317394105</v>
      </c>
      <c r="AE546" s="43">
        <f t="shared" si="486"/>
        <v>116.71553030439624</v>
      </c>
      <c r="AF546" t="str">
        <f t="shared" si="468"/>
        <v>171,265703090588</v>
      </c>
      <c r="AG546" t="str">
        <f t="shared" si="469"/>
        <v>1+52931,9775557952i</v>
      </c>
      <c r="AH546">
        <f t="shared" si="487"/>
        <v>52931.977565241286</v>
      </c>
      <c r="AI546">
        <f t="shared" si="488"/>
        <v>1.5707774346233576</v>
      </c>
      <c r="AJ546" t="str">
        <f t="shared" si="470"/>
        <v>1+181,022125332101i</v>
      </c>
      <c r="AK546">
        <f t="shared" si="489"/>
        <v>181.02488740433145</v>
      </c>
      <c r="AL546">
        <f t="shared" si="490"/>
        <v>1.5652721963818925</v>
      </c>
      <c r="AM546" t="str">
        <f t="shared" si="471"/>
        <v>1-15,0517814957878i</v>
      </c>
      <c r="AN546">
        <f t="shared" si="491"/>
        <v>15.084963579569559</v>
      </c>
      <c r="AO546">
        <f t="shared" si="492"/>
        <v>-1.5044564999238992</v>
      </c>
      <c r="AP546" s="41" t="str">
        <f t="shared" si="493"/>
        <v>0,537177112458301-8,81923081684703i</v>
      </c>
      <c r="AQ546">
        <f t="shared" si="494"/>
        <v>18.924696680623324</v>
      </c>
      <c r="AR546" s="43">
        <f t="shared" si="495"/>
        <v>-86.514434823113248</v>
      </c>
      <c r="AS546" t="str">
        <f t="shared" si="472"/>
        <v>-0,0000166666666666667</v>
      </c>
      <c r="AT546" t="str">
        <f t="shared" si="473"/>
        <v>0,0183536321517268i</v>
      </c>
      <c r="AU546">
        <f t="shared" si="496"/>
        <v>1.8353632151726799E-2</v>
      </c>
      <c r="AV546">
        <f t="shared" si="497"/>
        <v>1.5707963267948966</v>
      </c>
      <c r="AW546" t="str">
        <f t="shared" si="474"/>
        <v>1+85,0482914188806i</v>
      </c>
      <c r="AX546">
        <f t="shared" si="498"/>
        <v>85.054170228571635</v>
      </c>
      <c r="AY546">
        <f t="shared" si="499"/>
        <v>1.5590388428593971</v>
      </c>
      <c r="AZ546" t="str">
        <f t="shared" si="475"/>
        <v>1+3950,87971954982i</v>
      </c>
      <c r="BA546">
        <f t="shared" si="500"/>
        <v>3950.8798461039114</v>
      </c>
      <c r="BB546">
        <f t="shared" si="501"/>
        <v>1.5705432186140282</v>
      </c>
      <c r="BC546" s="41" t="str">
        <f t="shared" si="502"/>
        <v>-0,000485264381015644+0,0421789919611651i</v>
      </c>
      <c r="BD546">
        <f t="shared" si="503"/>
        <v>-27.497501269867097</v>
      </c>
      <c r="BE546" s="43">
        <f t="shared" si="504"/>
        <v>90.65915217667299</v>
      </c>
      <c r="BF546" s="41" t="str">
        <f t="shared" si="505"/>
        <v>-0,0219854966726836-0,0113838767867472i</v>
      </c>
      <c r="BG546" s="20">
        <f t="shared" si="506"/>
        <v>-32.125716101606507</v>
      </c>
      <c r="BH546" s="43">
        <f t="shared" si="507"/>
        <v>-152.62531751893073</v>
      </c>
      <c r="BI546" s="41" t="str">
        <f t="shared" si="460"/>
        <v>0,371725592808478+0,0269372476914719i</v>
      </c>
      <c r="BJ546" s="20">
        <f t="shared" si="508"/>
        <v>-8.5728045892437628</v>
      </c>
      <c r="BK546" s="43">
        <f t="shared" si="461"/>
        <v>4.1447173535597335</v>
      </c>
      <c r="BL546">
        <f t="shared" si="509"/>
        <v>-32.125716101606507</v>
      </c>
      <c r="BM546" s="43">
        <f t="shared" si="510"/>
        <v>-152.62531751893073</v>
      </c>
    </row>
    <row r="547" spans="14:65" x14ac:dyDescent="0.25">
      <c r="N547" s="9">
        <v>29</v>
      </c>
      <c r="O547" s="34">
        <f t="shared" si="462"/>
        <v>1949844.5997580495</v>
      </c>
      <c r="P547" s="33" t="str">
        <f t="shared" si="463"/>
        <v>54,631621870174</v>
      </c>
      <c r="Q547" s="4" t="str">
        <f t="shared" si="464"/>
        <v>1+54688,2895853067i</v>
      </c>
      <c r="R547" s="4">
        <f t="shared" si="476"/>
        <v>54688.289594449423</v>
      </c>
      <c r="S547" s="4">
        <f t="shared" si="477"/>
        <v>1.5707780413446206</v>
      </c>
      <c r="T547" s="4" t="str">
        <f t="shared" si="465"/>
        <v>1+185,238672300106i</v>
      </c>
      <c r="U547" s="4">
        <f t="shared" si="478"/>
        <v>185.24137150082336</v>
      </c>
      <c r="V547" s="4">
        <f t="shared" si="479"/>
        <v>1.5653979384704424</v>
      </c>
      <c r="W547" t="str">
        <f t="shared" si="466"/>
        <v>1-48,7518150730798i</v>
      </c>
      <c r="X547" s="4">
        <f t="shared" si="480"/>
        <v>48.762070022916078</v>
      </c>
      <c r="Y547" s="4">
        <f t="shared" si="481"/>
        <v>-1.5502871460446486</v>
      </c>
      <c r="Z547" t="str">
        <f t="shared" si="467"/>
        <v>-14,2075758528224+6,69810508428287i</v>
      </c>
      <c r="AA547" s="4">
        <f t="shared" si="482"/>
        <v>15.707317509167444</v>
      </c>
      <c r="AB547" s="4">
        <f t="shared" si="483"/>
        <v>2.7010480375400361</v>
      </c>
      <c r="AC547" s="47" t="str">
        <f t="shared" si="484"/>
        <v>-0,252805790223463+0,515854407920166i</v>
      </c>
      <c r="AD547" s="20">
        <f t="shared" si="485"/>
        <v>-4.8146429627431147</v>
      </c>
      <c r="AE547" s="43">
        <f t="shared" si="486"/>
        <v>116.108179497086</v>
      </c>
      <c r="AF547" t="str">
        <f t="shared" si="468"/>
        <v>171,265703090588</v>
      </c>
      <c r="AG547" t="str">
        <f t="shared" si="469"/>
        <v>1+54164,9217004071i</v>
      </c>
      <c r="AH547">
        <f t="shared" si="487"/>
        <v>54164.921709638169</v>
      </c>
      <c r="AI547">
        <f t="shared" si="488"/>
        <v>1.5707778646616839</v>
      </c>
      <c r="AJ547" t="str">
        <f t="shared" si="470"/>
        <v>1+185,238672300106i</v>
      </c>
      <c r="AK547">
        <f t="shared" si="489"/>
        <v>185.24137150082336</v>
      </c>
      <c r="AL547">
        <f t="shared" si="490"/>
        <v>1.5653979384704424</v>
      </c>
      <c r="AM547" t="str">
        <f t="shared" si="471"/>
        <v>1-15,4023825259807i</v>
      </c>
      <c r="AN547">
        <f t="shared" si="491"/>
        <v>15.434810898635448</v>
      </c>
      <c r="AO547">
        <f t="shared" si="492"/>
        <v>-1.5059623015887906</v>
      </c>
      <c r="AP547" s="41" t="str">
        <f t="shared" si="493"/>
        <v>0,537177109715754-9,02450854239978i</v>
      </c>
      <c r="AQ547">
        <f t="shared" si="494"/>
        <v>19.123831657341523</v>
      </c>
      <c r="AR547" s="43">
        <f t="shared" si="495"/>
        <v>-86.593531051695365</v>
      </c>
      <c r="AS547" t="str">
        <f t="shared" si="472"/>
        <v>-0,0000166666666666667</v>
      </c>
      <c r="AT547" t="str">
        <f t="shared" si="473"/>
        <v>0,0187811431637608i</v>
      </c>
      <c r="AU547">
        <f t="shared" si="496"/>
        <v>1.87811431637608E-2</v>
      </c>
      <c r="AV547">
        <f t="shared" si="497"/>
        <v>1.5707963267948966</v>
      </c>
      <c r="AW547" t="str">
        <f t="shared" si="474"/>
        <v>1+87,0293206143914i</v>
      </c>
      <c r="AX547">
        <f t="shared" si="498"/>
        <v>87.035065614972282</v>
      </c>
      <c r="AY547">
        <f t="shared" si="499"/>
        <v>1.5593064520398969</v>
      </c>
      <c r="AZ547" t="str">
        <f t="shared" si="475"/>
        <v>1+4042,90753035946i</v>
      </c>
      <c r="BA547">
        <f t="shared" si="500"/>
        <v>4042.9076540328283</v>
      </c>
      <c r="BB547">
        <f t="shared" si="501"/>
        <v>1.5705489800593857</v>
      </c>
      <c r="BC547" s="41" t="str">
        <f t="shared" si="502"/>
        <v>-0,000463426769324806+0,0412191318093121i</v>
      </c>
      <c r="BD547">
        <f t="shared" si="503"/>
        <v>-27.697474262815199</v>
      </c>
      <c r="BE547" s="43">
        <f t="shared" si="504"/>
        <v>90.644149406574272</v>
      </c>
      <c r="BF547" s="41" t="str">
        <f t="shared" si="505"/>
        <v>-0,0211459138638461-0,0106594959310826i</v>
      </c>
      <c r="BG547" s="20">
        <f t="shared" si="506"/>
        <v>-32.512117225558328</v>
      </c>
      <c r="BH547" s="43">
        <f t="shared" si="507"/>
        <v>-153.24767109633979</v>
      </c>
      <c r="BI547" s="41" t="str">
        <f t="shared" si="460"/>
        <v>0,371733464870929+0,0263241729288674i</v>
      </c>
      <c r="BJ547" s="20">
        <f t="shared" si="508"/>
        <v>-8.5736426054736707</v>
      </c>
      <c r="BK547" s="43">
        <f t="shared" si="461"/>
        <v>4.050618354878921</v>
      </c>
      <c r="BL547">
        <f t="shared" si="509"/>
        <v>-32.512117225558328</v>
      </c>
      <c r="BM547" s="43">
        <f t="shared" si="510"/>
        <v>-153.24767109633979</v>
      </c>
    </row>
    <row r="548" spans="14:65" x14ac:dyDescent="0.25">
      <c r="N548" s="9">
        <v>30</v>
      </c>
      <c r="O548" s="34">
        <f t="shared" si="462"/>
        <v>1995262.31496888</v>
      </c>
      <c r="P548" s="33" t="str">
        <f t="shared" si="463"/>
        <v>54,631621870174</v>
      </c>
      <c r="Q548" s="4" t="str">
        <f t="shared" si="464"/>
        <v>1+55962,1434924649i</v>
      </c>
      <c r="R548" s="4">
        <f t="shared" si="476"/>
        <v>55962.143501399507</v>
      </c>
      <c r="S548" s="4">
        <f t="shared" si="477"/>
        <v>1.570778457572285</v>
      </c>
      <c r="T548" s="4" t="str">
        <f t="shared" si="465"/>
        <v>1+189,55343526409i</v>
      </c>
      <c r="U548" s="4">
        <f t="shared" si="478"/>
        <v>189.55607302436283</v>
      </c>
      <c r="V548" s="4">
        <f t="shared" si="479"/>
        <v>1.5655208184845693</v>
      </c>
      <c r="W548" t="str">
        <f t="shared" si="466"/>
        <v>1-49,8873907252498i</v>
      </c>
      <c r="X548" s="4">
        <f t="shared" si="480"/>
        <v>49.897412291357753</v>
      </c>
      <c r="Y548" s="4">
        <f t="shared" si="481"/>
        <v>-1.5507538655277573</v>
      </c>
      <c r="Z548" t="str">
        <f t="shared" si="467"/>
        <v>-14,9242868221399+6,85412399430676i</v>
      </c>
      <c r="AA548" s="4">
        <f t="shared" si="482"/>
        <v>16.422952014751498</v>
      </c>
      <c r="AB548" s="4">
        <f t="shared" si="483"/>
        <v>2.7110650668310496</v>
      </c>
      <c r="AC548" s="47" t="str">
        <f t="shared" si="484"/>
        <v>-0,242174995760536+0,50739944205807i</v>
      </c>
      <c r="AD548" s="20">
        <f t="shared" si="485"/>
        <v>-5.0017148908808542</v>
      </c>
      <c r="AE548" s="43">
        <f t="shared" si="486"/>
        <v>115.51452159696073</v>
      </c>
      <c r="AF548" t="str">
        <f t="shared" si="468"/>
        <v>171,265703090588</v>
      </c>
      <c r="AG548" t="str">
        <f t="shared" si="469"/>
        <v>1+55426,5848034624i</v>
      </c>
      <c r="AH548">
        <f t="shared" si="487"/>
        <v>55426.584812483336</v>
      </c>
      <c r="AI548">
        <f t="shared" si="488"/>
        <v>1.5707782849111429</v>
      </c>
      <c r="AJ548" t="str">
        <f t="shared" si="470"/>
        <v>1+189,55343526409i</v>
      </c>
      <c r="AK548">
        <f t="shared" si="489"/>
        <v>189.55607302436283</v>
      </c>
      <c r="AL548">
        <f t="shared" si="490"/>
        <v>1.5655208184845693</v>
      </c>
      <c r="AM548" t="str">
        <f t="shared" si="471"/>
        <v>1-15,7611501032636i</v>
      </c>
      <c r="AN548">
        <f t="shared" si="491"/>
        <v>15.79284181449324</v>
      </c>
      <c r="AO548">
        <f t="shared" si="492"/>
        <v>-1.5074341115782814</v>
      </c>
      <c r="AP548" s="41" t="str">
        <f t="shared" si="493"/>
        <v>0,537177107096644-9,23457118183529i</v>
      </c>
      <c r="AQ548">
        <f t="shared" si="494"/>
        <v>19.323005407855931</v>
      </c>
      <c r="AR548" s="43">
        <f t="shared" si="495"/>
        <v>-86.670843124662738</v>
      </c>
      <c r="AS548" t="str">
        <f t="shared" si="472"/>
        <v>-0,0000166666666666667</v>
      </c>
      <c r="AT548" t="str">
        <f t="shared" si="473"/>
        <v>0,019218612186498i</v>
      </c>
      <c r="AU548">
        <f t="shared" si="496"/>
        <v>1.9218612186498001E-2</v>
      </c>
      <c r="AV548">
        <f t="shared" si="497"/>
        <v>1.5707963267948966</v>
      </c>
      <c r="AW548" t="str">
        <f t="shared" si="474"/>
        <v>1+89,0564939076618i</v>
      </c>
      <c r="AX548">
        <f t="shared" si="498"/>
        <v>89.062108144403396</v>
      </c>
      <c r="AY548">
        <f t="shared" si="499"/>
        <v>1.5595679712820345</v>
      </c>
      <c r="AZ548" t="str">
        <f t="shared" si="475"/>
        <v>1+4137,07894425593i</v>
      </c>
      <c r="BA548">
        <f t="shared" si="500"/>
        <v>4137.0790651141488</v>
      </c>
      <c r="BB548">
        <f t="shared" si="501"/>
        <v>1.5705546103582517</v>
      </c>
      <c r="BC548" s="41" t="str">
        <f t="shared" si="502"/>
        <v>-0,000442571758405746+0,0402811039968618i</v>
      </c>
      <c r="BD548">
        <f t="shared" si="503"/>
        <v>-27.897448471123973</v>
      </c>
      <c r="BE548" s="43">
        <f t="shared" si="504"/>
        <v>90.629488050100747</v>
      </c>
      <c r="BF548" s="41" t="str">
        <f t="shared" si="505"/>
        <v>-0,0203314298797751-0,00997963685295545i</v>
      </c>
      <c r="BG548" s="20">
        <f t="shared" si="506"/>
        <v>-32.899163362004835</v>
      </c>
      <c r="BH548" s="43">
        <f t="shared" si="507"/>
        <v>-153.85599035293848</v>
      </c>
      <c r="BI548" s="41" t="str">
        <f t="shared" si="460"/>
        <v>0,371740982725067+0,0257250473217612i</v>
      </c>
      <c r="BJ548" s="20">
        <f t="shared" si="508"/>
        <v>-8.5744430632680491</v>
      </c>
      <c r="BK548" s="43">
        <f t="shared" si="461"/>
        <v>3.9586449254380232</v>
      </c>
      <c r="BL548">
        <f t="shared" si="509"/>
        <v>-32.899163362004835</v>
      </c>
      <c r="BM548" s="43">
        <f t="shared" si="510"/>
        <v>-153.85599035293848</v>
      </c>
    </row>
    <row r="549" spans="14:65" x14ac:dyDescent="0.25">
      <c r="N549" s="9">
        <v>31</v>
      </c>
      <c r="O549" s="34">
        <f t="shared" si="462"/>
        <v>2041737.9446695296</v>
      </c>
      <c r="P549" s="33" t="str">
        <f t="shared" si="463"/>
        <v>54,631621870174</v>
      </c>
      <c r="Q549" s="4" t="str">
        <f t="shared" si="464"/>
        <v>1+57265,6692688492i</v>
      </c>
      <c r="R549" s="4">
        <f t="shared" si="476"/>
        <v>57265.669277580433</v>
      </c>
      <c r="S549" s="4">
        <f t="shared" si="477"/>
        <v>1.5707788643254508</v>
      </c>
      <c r="T549" s="4" t="str">
        <f t="shared" si="465"/>
        <v>1+193,968701968486i</v>
      </c>
      <c r="U549" s="4">
        <f t="shared" si="478"/>
        <v>193.97127968681173</v>
      </c>
      <c r="V549" s="4">
        <f t="shared" si="479"/>
        <v>1.565640901562031</v>
      </c>
      <c r="W549" t="str">
        <f t="shared" si="466"/>
        <v>1-51,0494173323199i</v>
      </c>
      <c r="X549" s="4">
        <f t="shared" si="480"/>
        <v>51.059210823996906</v>
      </c>
      <c r="Y549" s="4">
        <f t="shared" si="481"/>
        <v>-1.5512099696168828</v>
      </c>
      <c r="Z549" t="str">
        <f t="shared" si="467"/>
        <v>-15,6747753388133+7,01377705159746i</v>
      </c>
      <c r="AA549" s="4">
        <f t="shared" si="482"/>
        <v>17.172409570348147</v>
      </c>
      <c r="AB549" s="4">
        <f t="shared" si="483"/>
        <v>2.7208560788557494</v>
      </c>
      <c r="AC549" s="47" t="str">
        <f t="shared" si="484"/>
        <v>-0,231957342458784+0,498927867095958i</v>
      </c>
      <c r="AD549" s="20">
        <f t="shared" si="485"/>
        <v>-5.1893991215780435</v>
      </c>
      <c r="AE549" s="43">
        <f t="shared" si="486"/>
        <v>114.93426203974791</v>
      </c>
      <c r="AF549" t="str">
        <f t="shared" si="468"/>
        <v>171,265703090588</v>
      </c>
      <c r="AG549" t="str">
        <f t="shared" si="469"/>
        <v>1+56717,6358154379i</v>
      </c>
      <c r="AH549">
        <f t="shared" si="487"/>
        <v>56717.635824253492</v>
      </c>
      <c r="AI549">
        <f t="shared" si="488"/>
        <v>1.5707786955945562</v>
      </c>
      <c r="AJ549" t="str">
        <f t="shared" si="470"/>
        <v>1+193,968701968486i</v>
      </c>
      <c r="AK549">
        <f t="shared" si="489"/>
        <v>193.97127968681173</v>
      </c>
      <c r="AL549">
        <f t="shared" si="490"/>
        <v>1.565640901562031</v>
      </c>
      <c r="AM549" t="str">
        <f t="shared" si="471"/>
        <v>1-16,1282744509546i</v>
      </c>
      <c r="AN549">
        <f t="shared" si="491"/>
        <v>16.159246169463319</v>
      </c>
      <c r="AO549">
        <f t="shared" si="492"/>
        <v>-1.5088726847449632</v>
      </c>
      <c r="AP549" s="41" t="str">
        <f t="shared" si="493"/>
        <v>0,537177104595412-9,44953011314529i</v>
      </c>
      <c r="AQ549">
        <f t="shared" si="494"/>
        <v>19.522216200964106</v>
      </c>
      <c r="AR549" s="43">
        <f t="shared" si="495"/>
        <v>-86.746410572531175</v>
      </c>
      <c r="AS549" t="str">
        <f t="shared" si="472"/>
        <v>-0,0000166666666666667</v>
      </c>
      <c r="AT549" t="str">
        <f t="shared" si="473"/>
        <v>0,0196662711718049i</v>
      </c>
      <c r="AU549">
        <f t="shared" si="496"/>
        <v>1.9666271171804899E-2</v>
      </c>
      <c r="AV549">
        <f t="shared" si="497"/>
        <v>1.5707963267948966</v>
      </c>
      <c r="AW549" t="str">
        <f t="shared" si="474"/>
        <v>1+91,1308861328037i</v>
      </c>
      <c r="AX549">
        <f t="shared" si="498"/>
        <v>91.136372581697756</v>
      </c>
      <c r="AY549">
        <f t="shared" si="499"/>
        <v>1.5598235391036042</v>
      </c>
      <c r="AZ549" t="str">
        <f t="shared" si="475"/>
        <v>1+4233,44389216934i</v>
      </c>
      <c r="BA549">
        <f t="shared" si="500"/>
        <v>4233.4440102764893</v>
      </c>
      <c r="BB549">
        <f t="shared" si="501"/>
        <v>1.5705601124958832</v>
      </c>
      <c r="BC549" s="41" t="str">
        <f t="shared" si="502"/>
        <v>-0,000422655146253779+0,0393644126764531i</v>
      </c>
      <c r="BD549">
        <f t="shared" si="503"/>
        <v>-28.097423840107002</v>
      </c>
      <c r="BE549" s="43">
        <f t="shared" si="504"/>
        <v>90.615160341810054</v>
      </c>
      <c r="BF549" s="41" t="str">
        <f t="shared" si="505"/>
        <v>-0,0195419644916463-0,00934173898251846i</v>
      </c>
      <c r="BG549" s="20">
        <f t="shared" si="506"/>
        <v>-33.286822961685033</v>
      </c>
      <c r="BH549" s="43">
        <f t="shared" si="507"/>
        <v>-154.45057761844205</v>
      </c>
      <c r="BI549" s="41" t="str">
        <f t="shared" si="460"/>
        <v>0,371748162304715+0,0251395537576369i</v>
      </c>
      <c r="BJ549" s="20">
        <f t="shared" si="508"/>
        <v>-8.5752076391428904</v>
      </c>
      <c r="BK549" s="43">
        <f t="shared" si="461"/>
        <v>3.868749769278875</v>
      </c>
      <c r="BL549">
        <f t="shared" si="509"/>
        <v>-33.286822961685033</v>
      </c>
      <c r="BM549" s="43">
        <f t="shared" si="510"/>
        <v>-154.45057761844205</v>
      </c>
    </row>
    <row r="550" spans="14:65" x14ac:dyDescent="0.25">
      <c r="N550" s="9">
        <v>32</v>
      </c>
      <c r="O550" s="34">
        <f t="shared" si="462"/>
        <v>2089296.1308540432</v>
      </c>
      <c r="P550" s="33" t="str">
        <f t="shared" si="463"/>
        <v>54,631621870174</v>
      </c>
      <c r="Q550" s="4" t="str">
        <f t="shared" si="464"/>
        <v>1+58599,5580610811i</v>
      </c>
      <c r="R550" s="4">
        <f t="shared" si="476"/>
        <v>58599.558069613588</v>
      </c>
      <c r="S550" s="4">
        <f t="shared" si="477"/>
        <v>1.5707792618197844</v>
      </c>
      <c r="T550" s="4" t="str">
        <f t="shared" si="465"/>
        <v>1+198,486813446147i</v>
      </c>
      <c r="U550" s="4">
        <f t="shared" si="478"/>
        <v>198.4893324891934</v>
      </c>
      <c r="V550" s="4">
        <f t="shared" si="479"/>
        <v>1.5657582513586041</v>
      </c>
      <c r="W550" t="str">
        <f t="shared" si="466"/>
        <v>1-52,2385110161789i</v>
      </c>
      <c r="X550" s="4">
        <f t="shared" si="480"/>
        <v>52.248081622079141</v>
      </c>
      <c r="Y550" s="4">
        <f t="shared" si="481"/>
        <v>-1.5516556993849457</v>
      </c>
      <c r="Z550" t="str">
        <f t="shared" si="467"/>
        <v>-16,4606332896068+7,17714890631929i</v>
      </c>
      <c r="AA550" s="4">
        <f t="shared" si="482"/>
        <v>17.957280270642094</v>
      </c>
      <c r="AB550" s="4">
        <f t="shared" si="483"/>
        <v>2.7304259545624419</v>
      </c>
      <c r="AC550" s="47" t="str">
        <f t="shared" si="484"/>
        <v>-0,222139903281441+0,490452842348527i</v>
      </c>
      <c r="AD550" s="20">
        <f t="shared" si="485"/>
        <v>-5.3776657518173803</v>
      </c>
      <c r="AE550" s="43">
        <f t="shared" si="486"/>
        <v>114.36711099009899</v>
      </c>
      <c r="AF550" t="str">
        <f t="shared" si="468"/>
        <v>171,265703090588</v>
      </c>
      <c r="AG550" t="str">
        <f t="shared" si="469"/>
        <v>1+58038,7592686698i</v>
      </c>
      <c r="AH550">
        <f t="shared" si="487"/>
        <v>58038.759277284735</v>
      </c>
      <c r="AI550">
        <f t="shared" si="488"/>
        <v>1.5707790969296738</v>
      </c>
      <c r="AJ550" t="str">
        <f t="shared" si="470"/>
        <v>1+198,486813446147i</v>
      </c>
      <c r="AK550">
        <f t="shared" si="489"/>
        <v>198.4893324891934</v>
      </c>
      <c r="AL550">
        <f t="shared" si="490"/>
        <v>1.5657582513586041</v>
      </c>
      <c r="AM550" t="str">
        <f t="shared" si="471"/>
        <v>1-16,5039502232427i</v>
      </c>
      <c r="AN550">
        <f t="shared" si="491"/>
        <v>16.534218244938973</v>
      </c>
      <c r="AO550">
        <f t="shared" si="492"/>
        <v>-1.5102787600090024</v>
      </c>
      <c r="AP550" s="41" t="str">
        <f t="shared" si="493"/>
        <v>0,537177102206754-9,66949931040077i</v>
      </c>
      <c r="AQ550">
        <f t="shared" si="494"/>
        <v>19.721462382164479</v>
      </c>
      <c r="AR550" s="43">
        <f t="shared" si="495"/>
        <v>-86.820272097576407</v>
      </c>
      <c r="AS550" t="str">
        <f t="shared" si="472"/>
        <v>-0,0000166666666666667</v>
      </c>
      <c r="AT550" t="str">
        <f t="shared" si="473"/>
        <v>0,020124357474401i</v>
      </c>
      <c r="AU550">
        <f t="shared" si="496"/>
        <v>2.0124357474401E-2</v>
      </c>
      <c r="AV550">
        <f t="shared" si="497"/>
        <v>1.5707963267948966</v>
      </c>
      <c r="AW550" t="str">
        <f t="shared" si="474"/>
        <v>1+93,2535971600339i</v>
      </c>
      <c r="AX550">
        <f t="shared" si="498"/>
        <v>93.258958729367578</v>
      </c>
      <c r="AY550">
        <f t="shared" si="499"/>
        <v>1.5600732908764319</v>
      </c>
      <c r="AZ550" t="str">
        <f t="shared" si="475"/>
        <v>1+4332,05346807067i</v>
      </c>
      <c r="BA550">
        <f t="shared" si="500"/>
        <v>4332.0535834893735</v>
      </c>
      <c r="BB550">
        <f t="shared" si="501"/>
        <v>1.5705654893895855</v>
      </c>
      <c r="BC550" s="41" t="str">
        <f t="shared" si="502"/>
        <v>-0,000403634718319183+0,0384685732130441i</v>
      </c>
      <c r="BD550">
        <f t="shared" si="503"/>
        <v>-28.297400317537871</v>
      </c>
      <c r="BE550" s="43">
        <f t="shared" si="504"/>
        <v>90.601158692617147</v>
      </c>
      <c r="BF550" s="41" t="str">
        <f t="shared" si="505"/>
        <v>-0,0187773576961414-0,00874336892779084i</v>
      </c>
      <c r="BG550" s="20">
        <f t="shared" si="506"/>
        <v>-33.675066069355267</v>
      </c>
      <c r="BH550" s="43">
        <f t="shared" si="507"/>
        <v>-155.0317303172838</v>
      </c>
      <c r="BI550" s="41" t="str">
        <f t="shared" si="460"/>
        <v>0,371755018827295+0,0245673823150525i</v>
      </c>
      <c r="BJ550" s="20">
        <f t="shared" si="508"/>
        <v>-8.5759379353733891</v>
      </c>
      <c r="BK550" s="43">
        <f t="shared" si="461"/>
        <v>3.7808865950407373</v>
      </c>
      <c r="BL550">
        <f t="shared" si="509"/>
        <v>-33.675066069355267</v>
      </c>
      <c r="BM550" s="43">
        <f t="shared" si="510"/>
        <v>-155.0317303172838</v>
      </c>
    </row>
    <row r="551" spans="14:65" x14ac:dyDescent="0.25">
      <c r="N551" s="9">
        <v>33</v>
      </c>
      <c r="O551" s="34">
        <f t="shared" si="462"/>
        <v>2137962.0895022359</v>
      </c>
      <c r="P551" s="33" t="str">
        <f t="shared" si="463"/>
        <v>54,631621870174</v>
      </c>
      <c r="Q551" s="4" t="str">
        <f t="shared" si="464"/>
        <v>1+59964,5171146533i</v>
      </c>
      <c r="R551" s="4">
        <f t="shared" si="476"/>
        <v>59964.517122991565</v>
      </c>
      <c r="S551" s="4">
        <f t="shared" si="477"/>
        <v>1.570779650266042</v>
      </c>
      <c r="T551" s="4" t="str">
        <f t="shared" si="465"/>
        <v>1+203,110165259579i</v>
      </c>
      <c r="U551" s="4">
        <f t="shared" si="478"/>
        <v>203.11262696290817</v>
      </c>
      <c r="V551" s="4">
        <f t="shared" si="479"/>
        <v>1.5658729300817686</v>
      </c>
      <c r="W551" t="str">
        <f t="shared" si="466"/>
        <v>1-53,4553022500367i</v>
      </c>
      <c r="X551" s="4">
        <f t="shared" si="480"/>
        <v>53.464655040903224</v>
      </c>
      <c r="Y551" s="4">
        <f t="shared" si="481"/>
        <v>-1.5520912904549191</v>
      </c>
      <c r="Z551" t="str">
        <f t="shared" si="467"/>
        <v>-17,2835275845951+7,34432618039199i</v>
      </c>
      <c r="AA551" s="4">
        <f t="shared" si="482"/>
        <v>18.779229292264656</v>
      </c>
      <c r="AB551" s="4">
        <f t="shared" si="483"/>
        <v>2.7397794945468341</v>
      </c>
      <c r="AC551" s="47" t="str">
        <f t="shared" si="484"/>
        <v>-0,212709848544626+0,481986508055637i</v>
      </c>
      <c r="AD551" s="20">
        <f t="shared" si="485"/>
        <v>-5.5664863890419038</v>
      </c>
      <c r="AE551" s="43">
        <f t="shared" si="486"/>
        <v>113.81278344608957</v>
      </c>
      <c r="AF551" t="str">
        <f t="shared" si="468"/>
        <v>171,265703090588</v>
      </c>
      <c r="AG551" t="str">
        <f t="shared" si="469"/>
        <v>1+59390,6556402993i</v>
      </c>
      <c r="AH551">
        <f t="shared" si="487"/>
        <v>59390.655648718137</v>
      </c>
      <c r="AI551">
        <f t="shared" si="488"/>
        <v>1.5707794891292888</v>
      </c>
      <c r="AJ551" t="str">
        <f t="shared" si="470"/>
        <v>1+203,110165259579i</v>
      </c>
      <c r="AK551">
        <f t="shared" si="489"/>
        <v>203.11262696290817</v>
      </c>
      <c r="AL551">
        <f t="shared" si="490"/>
        <v>1.5658729300817686</v>
      </c>
      <c r="AM551" t="str">
        <f t="shared" si="471"/>
        <v>1-16,8883766083946i</v>
      </c>
      <c r="AN551">
        <f t="shared" si="491"/>
        <v>16.91795686443756</v>
      </c>
      <c r="AO551">
        <f t="shared" si="492"/>
        <v>-1.5116530606385348</v>
      </c>
      <c r="AP551" s="41" t="str">
        <f t="shared" si="493"/>
        <v>0,537177099925604-9,89459540418146i</v>
      </c>
      <c r="AQ551">
        <f t="shared" si="494"/>
        <v>19.92074237030938</v>
      </c>
      <c r="AR551" s="43">
        <f t="shared" si="495"/>
        <v>-86.892465587976176</v>
      </c>
      <c r="AS551" t="str">
        <f t="shared" si="472"/>
        <v>-0,0000166666666666667</v>
      </c>
      <c r="AT551" t="str">
        <f t="shared" si="473"/>
        <v>0,0205931139777074i</v>
      </c>
      <c r="AU551">
        <f t="shared" si="496"/>
        <v>2.0593113977707401E-2</v>
      </c>
      <c r="AV551">
        <f t="shared" si="497"/>
        <v>1.5707963267948966</v>
      </c>
      <c r="AW551" t="str">
        <f t="shared" si="474"/>
        <v>1+95,4257524788349i</v>
      </c>
      <c r="AX551">
        <f t="shared" si="498"/>
        <v>95.430992010729227</v>
      </c>
      <c r="AY551">
        <f t="shared" si="499"/>
        <v>1.5603173588975139</v>
      </c>
      <c r="AZ551" t="str">
        <f t="shared" si="475"/>
        <v>1+4432,95995606224i</v>
      </c>
      <c r="BA551">
        <f t="shared" si="500"/>
        <v>4432.960068853693</v>
      </c>
      <c r="BB551">
        <f t="shared" si="501"/>
        <v>1.5705707438902574</v>
      </c>
      <c r="BC551" s="41" t="str">
        <f t="shared" si="502"/>
        <v>-0,000385470158229666+0,0375931119336599i</v>
      </c>
      <c r="BD551">
        <f t="shared" si="503"/>
        <v>-28.497377853539692</v>
      </c>
      <c r="BE551" s="43">
        <f t="shared" si="504"/>
        <v>90.587475685806979</v>
      </c>
      <c r="BF551" s="41" t="str">
        <f t="shared" si="505"/>
        <v>-0,0180373794488739-0,00818221656125474i</v>
      </c>
      <c r="BG551" s="20">
        <f t="shared" si="506"/>
        <v>-34.063864242581609</v>
      </c>
      <c r="BH551" s="43">
        <f t="shared" si="507"/>
        <v>-155.5997408681034</v>
      </c>
      <c r="BI551" s="41" t="str">
        <f t="shared" si="460"/>
        <v>0,371761566825965+0,0240082301017704i</v>
      </c>
      <c r="BJ551" s="20">
        <f t="shared" si="508"/>
        <v>-8.5766354832303104</v>
      </c>
      <c r="BK551" s="43">
        <f t="shared" si="461"/>
        <v>3.695010097830814</v>
      </c>
      <c r="BL551">
        <f t="shared" si="509"/>
        <v>-34.063864242581609</v>
      </c>
      <c r="BM551" s="43">
        <f t="shared" si="510"/>
        <v>-155.5997408681034</v>
      </c>
    </row>
    <row r="552" spans="14:65" x14ac:dyDescent="0.25">
      <c r="N552" s="9">
        <v>34</v>
      </c>
      <c r="O552" s="34">
        <f t="shared" si="462"/>
        <v>2187761.6239495561</v>
      </c>
      <c r="P552" s="33" t="str">
        <f t="shared" si="463"/>
        <v>54,631621870174</v>
      </c>
      <c r="Q552" s="4" t="str">
        <f t="shared" si="464"/>
        <v>1+61361,2701489241i</v>
      </c>
      <c r="R552" s="4">
        <f t="shared" si="476"/>
        <v>61361.270157072562</v>
      </c>
      <c r="S552" s="4">
        <f t="shared" si="477"/>
        <v>1.5707800298701835</v>
      </c>
      <c r="T552" s="4" t="str">
        <f t="shared" si="465"/>
        <v>1+207,841208771113i</v>
      </c>
      <c r="U552" s="4">
        <f t="shared" si="478"/>
        <v>207.84361443988934</v>
      </c>
      <c r="V552" s="4">
        <f t="shared" si="479"/>
        <v>1.5659849985236292</v>
      </c>
      <c r="W552" t="str">
        <f t="shared" si="466"/>
        <v>1-54,7004361927122i</v>
      </c>
      <c r="X552" s="4">
        <f t="shared" si="480"/>
        <v>54.709576124047786</v>
      </c>
      <c r="Y552" s="4">
        <f t="shared" si="481"/>
        <v>-1.5525169731213841</v>
      </c>
      <c r="Z552" t="str">
        <f t="shared" si="467"/>
        <v>-18,1452036929056+7,5153975134192i</v>
      </c>
      <c r="AA552" s="4">
        <f t="shared" si="482"/>
        <v>19.640000428761262</v>
      </c>
      <c r="AB552" s="4">
        <f t="shared" si="483"/>
        <v>2.7489214175539374</v>
      </c>
      <c r="AC552" s="47" t="str">
        <f t="shared" si="484"/>
        <v>-0,203654481735595+0,473540041397108i</v>
      </c>
      <c r="AD552" s="20">
        <f t="shared" si="485"/>
        <v>-5.7558340738372369</v>
      </c>
      <c r="AE552" s="43">
        <f t="shared" si="486"/>
        <v>113.27099931996867</v>
      </c>
      <c r="AF552" t="str">
        <f t="shared" si="468"/>
        <v>171,265703090588</v>
      </c>
      <c r="AG552" t="str">
        <f t="shared" si="469"/>
        <v>1+60774,0417236778i</v>
      </c>
      <c r="AH552">
        <f t="shared" si="487"/>
        <v>60774.041731904996</v>
      </c>
      <c r="AI552">
        <f t="shared" si="488"/>
        <v>1.5707798724013504</v>
      </c>
      <c r="AJ552" t="str">
        <f t="shared" si="470"/>
        <v>1+207,841208771113i</v>
      </c>
      <c r="AK552">
        <f t="shared" si="489"/>
        <v>207.84361443988934</v>
      </c>
      <c r="AL552">
        <f t="shared" si="490"/>
        <v>1.5659849985236292</v>
      </c>
      <c r="AM552" t="str">
        <f t="shared" si="471"/>
        <v>1-17,2817574343684i</v>
      </c>
      <c r="AN552">
        <f t="shared" si="491"/>
        <v>17.31066549906004</v>
      </c>
      <c r="AO552">
        <f t="shared" si="492"/>
        <v>-1.5129962945290558</v>
      </c>
      <c r="AP552" s="41" t="str">
        <f t="shared" si="493"/>
        <v>0,537177097747122-10,1249377434159i</v>
      </c>
      <c r="AQ552">
        <f t="shared" si="494"/>
        <v>20.120054654401368</v>
      </c>
      <c r="AR552" s="43">
        <f t="shared" si="495"/>
        <v>-86.963028131938287</v>
      </c>
      <c r="AS552" t="str">
        <f t="shared" si="472"/>
        <v>-0,0000166666666666667</v>
      </c>
      <c r="AT552" t="str">
        <f t="shared" si="473"/>
        <v>0,0210727892226268i</v>
      </c>
      <c r="AU552">
        <f t="shared" si="496"/>
        <v>2.10727892226268E-2</v>
      </c>
      <c r="AV552">
        <f t="shared" si="497"/>
        <v>1.5707963267948966</v>
      </c>
      <c r="AW552" t="str">
        <f t="shared" si="474"/>
        <v>1+97,6485037947097i</v>
      </c>
      <c r="AX552">
        <f t="shared" si="498"/>
        <v>97.653624066623522</v>
      </c>
      <c r="AY552">
        <f t="shared" si="499"/>
        <v>1.5605558724585673</v>
      </c>
      <c r="AZ552" t="str">
        <f t="shared" si="475"/>
        <v>1+4536,2168580997i</v>
      </c>
      <c r="BA552">
        <f t="shared" si="500"/>
        <v>4536.2169683237062</v>
      </c>
      <c r="BB552">
        <f t="shared" si="501"/>
        <v>1.5705758787839037</v>
      </c>
      <c r="BC552" s="41" t="str">
        <f t="shared" si="502"/>
        <v>-0,000368122962515752+0,0367375658825061i</v>
      </c>
      <c r="BD552">
        <f t="shared" si="503"/>
        <v>-28.697356400479372</v>
      </c>
      <c r="BE552" s="43">
        <f t="shared" si="504"/>
        <v>90.574104073136169</v>
      </c>
      <c r="BF552" s="41" t="str">
        <f t="shared" si="505"/>
        <v>-0,0173217385776848-0,00765609090293799i</v>
      </c>
      <c r="BG552" s="20">
        <f t="shared" si="506"/>
        <v>-34.453190474316614</v>
      </c>
      <c r="BH552" s="43">
        <f t="shared" si="507"/>
        <v>-156.15489660689516</v>
      </c>
      <c r="BI552" s="41" t="str">
        <f t="shared" si="460"/>
        <v>0,371767820180396+0,0234618010964521i</v>
      </c>
      <c r="BJ552" s="20">
        <f t="shared" si="508"/>
        <v>-8.577301746078005</v>
      </c>
      <c r="BK552" s="43">
        <f t="shared" si="461"/>
        <v>3.6110759411978712</v>
      </c>
      <c r="BL552">
        <f t="shared" si="509"/>
        <v>-34.453190474316614</v>
      </c>
      <c r="BM552" s="43">
        <f t="shared" si="510"/>
        <v>-156.15489660689516</v>
      </c>
    </row>
    <row r="553" spans="14:65" x14ac:dyDescent="0.25">
      <c r="N553" s="9">
        <v>35</v>
      </c>
      <c r="O553" s="34">
        <f t="shared" si="462"/>
        <v>2238721.1385683389</v>
      </c>
      <c r="P553" s="33" t="str">
        <f t="shared" si="463"/>
        <v>54,631621870174</v>
      </c>
      <c r="Q553" s="4" t="str">
        <f t="shared" si="464"/>
        <v>1+62790,55774084i</v>
      </c>
      <c r="R553" s="4">
        <f t="shared" si="476"/>
        <v>62790.557748802981</v>
      </c>
      <c r="S553" s="4">
        <f t="shared" si="477"/>
        <v>1.5707804008334798</v>
      </c>
      <c r="T553" s="4" t="str">
        <f t="shared" si="465"/>
        <v>1+212,682452442641i</v>
      </c>
      <c r="U553" s="4">
        <f t="shared" si="478"/>
        <v>212.68480335232286</v>
      </c>
      <c r="V553" s="4">
        <f t="shared" si="479"/>
        <v>1.5660945160930906</v>
      </c>
      <c r="W553" t="str">
        <f t="shared" si="466"/>
        <v>1-55,9745730307027i</v>
      </c>
      <c r="X553" s="4">
        <f t="shared" si="480"/>
        <v>55.983504945380744</v>
      </c>
      <c r="Y553" s="4">
        <f t="shared" si="481"/>
        <v>-1.5529329724694818</v>
      </c>
      <c r="Z553" t="str">
        <f t="shared" si="467"/>
        <v>-19,0474893450908+7,69045360968604i</v>
      </c>
      <c r="AA553" s="4">
        <f t="shared" si="482"/>
        <v>20.541419792070865</v>
      </c>
      <c r="AB553" s="4">
        <f t="shared" si="483"/>
        <v>2.7578563593520267</v>
      </c>
      <c r="AC553" s="47" t="str">
        <f t="shared" si="484"/>
        <v>-0,19496127058447+0,465123710760576i</v>
      </c>
      <c r="AD553" s="20">
        <f t="shared" si="485"/>
        <v>-5.9456832062909228</v>
      </c>
      <c r="AE553" s="43">
        <f t="shared" si="486"/>
        <v>112.74148349769824</v>
      </c>
      <c r="AF553" t="str">
        <f t="shared" si="468"/>
        <v>171,265703090588</v>
      </c>
      <c r="AG553" t="str">
        <f t="shared" si="469"/>
        <v>1+62189,6510084174i</v>
      </c>
      <c r="AH553">
        <f t="shared" si="487"/>
        <v>62189.651016457312</v>
      </c>
      <c r="AI553">
        <f t="shared" si="488"/>
        <v>1.570780246949075</v>
      </c>
      <c r="AJ553" t="str">
        <f t="shared" si="470"/>
        <v>1+212,682452442641i</v>
      </c>
      <c r="AK553">
        <f t="shared" si="489"/>
        <v>212.68480335232286</v>
      </c>
      <c r="AL553">
        <f t="shared" si="490"/>
        <v>1.5660945160930906</v>
      </c>
      <c r="AM553" t="str">
        <f t="shared" si="471"/>
        <v>1-17,684301276885i</v>
      </c>
      <c r="AN553">
        <f t="shared" si="491"/>
        <v>17.712552375409832</v>
      </c>
      <c r="AO553">
        <f t="shared" si="492"/>
        <v>-1.5143091544814586</v>
      </c>
      <c r="AP553" s="41" t="str">
        <f t="shared" si="493"/>
        <v>0,537177095666689-10,3606484586614i</v>
      </c>
      <c r="AQ553">
        <f>20*LOG(IMABS(AP553))</f>
        <v>20.319397790524096</v>
      </c>
      <c r="AR553" s="43">
        <f t="shared" si="495"/>
        <v>-87.031996031793923</v>
      </c>
      <c r="AS553" t="str">
        <f t="shared" si="472"/>
        <v>-0,0000166666666666667</v>
      </c>
      <c r="AT553" t="str">
        <f t="shared" si="473"/>
        <v>0,0215636375393233i</v>
      </c>
      <c r="AU553">
        <f t="shared" si="496"/>
        <v>2.1563637539323301E-2</v>
      </c>
      <c r="AV553">
        <f t="shared" si="497"/>
        <v>1.5707963267948966</v>
      </c>
      <c r="AW553" t="str">
        <f t="shared" si="474"/>
        <v>1+99,9230296398266i</v>
      </c>
      <c r="AX553">
        <f t="shared" si="498"/>
        <v>99.928033366026298</v>
      </c>
      <c r="AY553">
        <f t="shared" si="499"/>
        <v>1.5607889579140271</v>
      </c>
      <c r="AZ553" t="str">
        <f t="shared" si="475"/>
        <v>1+4641,87892235922i</v>
      </c>
      <c r="BA553">
        <f t="shared" si="500"/>
        <v>4641.8790300742212</v>
      </c>
      <c r="BB553">
        <f t="shared" si="501"/>
        <v>1.5705808967931116</v>
      </c>
      <c r="BC553" s="41" t="str">
        <f t="shared" si="502"/>
        <v>-0,000351556359160352+0,0359014825813467i</v>
      </c>
      <c r="BD553">
        <f t="shared" si="503"/>
        <v>-28.897335912866854</v>
      </c>
      <c r="BE553" s="43">
        <f t="shared" si="504"/>
        <v>90.561036771021605</v>
      </c>
      <c r="BF553" s="41" t="str">
        <f t="shared" si="505"/>
        <v>-0,0166300909255782-0,00716291585823971i</v>
      </c>
      <c r="BG553" s="20">
        <f t="shared" si="506"/>
        <v>-34.84301911915778</v>
      </c>
      <c r="BH553" s="43">
        <f t="shared" si="507"/>
        <v>-156.69747973128014</v>
      </c>
      <c r="BI553" s="41" t="str">
        <f t="shared" si="460"/>
        <v>0,371773792146112+0,0229278059938434i</v>
      </c>
      <c r="BJ553" s="20">
        <f t="shared" si="508"/>
        <v>-8.5779381223427542</v>
      </c>
      <c r="BK553" s="43">
        <f t="shared" si="461"/>
        <v>3.5290407392276903</v>
      </c>
      <c r="BL553">
        <f t="shared" si="509"/>
        <v>-34.84301911915778</v>
      </c>
      <c r="BM553" s="43">
        <f t="shared" si="510"/>
        <v>-156.69747973128014</v>
      </c>
    </row>
    <row r="554" spans="14:65" x14ac:dyDescent="0.25">
      <c r="N554" s="9">
        <v>36</v>
      </c>
      <c r="O554" s="34">
        <f t="shared" si="462"/>
        <v>2290867.6527677765</v>
      </c>
      <c r="P554" s="33" t="str">
        <f t="shared" si="463"/>
        <v>54,631621870174</v>
      </c>
      <c r="Q554" s="4" t="str">
        <f t="shared" si="464"/>
        <v>1+64253,137717602i</v>
      </c>
      <c r="R554" s="4">
        <f t="shared" si="476"/>
        <v>64253.137725383713</v>
      </c>
      <c r="S554" s="4">
        <f t="shared" si="477"/>
        <v>1.5707807633526207</v>
      </c>
      <c r="T554" s="4" t="str">
        <f t="shared" si="465"/>
        <v>1+217,63646316564i</v>
      </c>
      <c r="U554" s="4">
        <f t="shared" si="478"/>
        <v>217.63876056265573</v>
      </c>
      <c r="V554" s="4">
        <f t="shared" si="479"/>
        <v>1.5662015408473029</v>
      </c>
      <c r="W554" t="str">
        <f t="shared" si="466"/>
        <v>1-57,2783883282257i</v>
      </c>
      <c r="X554" s="4">
        <f t="shared" si="480"/>
        <v>57.287116959042571</v>
      </c>
      <c r="Y554" s="4">
        <f t="shared" si="481"/>
        <v>-1.5533395084913153</v>
      </c>
      <c r="Z554" t="str">
        <f t="shared" si="467"/>
        <v>-19,9922984099911+7,869587286252i</v>
      </c>
      <c r="AA554" s="4">
        <f t="shared" si="482"/>
        <v>21.485399688394718</v>
      </c>
      <c r="AB554" s="4">
        <f t="shared" si="483"/>
        <v>2.7665888719384157</v>
      </c>
      <c r="AC554" s="47" t="str">
        <f t="shared" si="484"/>
        <v>-0,186617873813868+0,456746928143555i</v>
      </c>
      <c r="AD554" s="20">
        <f t="shared" si="485"/>
        <v>-6.136009475921651</v>
      </c>
      <c r="AE554" s="43">
        <f t="shared" si="486"/>
        <v>112.22396587958526</v>
      </c>
      <c r="AF554" t="str">
        <f t="shared" si="468"/>
        <v>171,265703090588</v>
      </c>
      <c r="AG554" t="str">
        <f t="shared" si="469"/>
        <v>1+63638,2340692996i</v>
      </c>
      <c r="AH554">
        <f t="shared" si="487"/>
        <v>63638.234077156514</v>
      </c>
      <c r="AI554">
        <f t="shared" si="488"/>
        <v>1.5707806129710524</v>
      </c>
      <c r="AJ554" t="str">
        <f t="shared" si="470"/>
        <v>1+217,63646316564i</v>
      </c>
      <c r="AK554">
        <f t="shared" si="489"/>
        <v>217.63876056265573</v>
      </c>
      <c r="AL554">
        <f t="shared" si="490"/>
        <v>1.5662015408473029</v>
      </c>
      <c r="AM554" t="str">
        <f t="shared" si="471"/>
        <v>1-18,0962215700181i</v>
      </c>
      <c r="AN554">
        <f t="shared" si="491"/>
        <v>18.123830586031982</v>
      </c>
      <c r="AO554">
        <f t="shared" si="492"/>
        <v>-1.5155923184784481</v>
      </c>
      <c r="AP554" s="41" t="str">
        <f t="shared" si="493"/>
        <v>0,537177093679889-10,601852526859i</v>
      </c>
      <c r="AQ554">
        <f t="shared" si="494"/>
        <v>20.518770398903683</v>
      </c>
      <c r="AR554" s="43">
        <f t="shared" si="495"/>
        <v>-87.099404818039261</v>
      </c>
      <c r="AS554" t="str">
        <f t="shared" si="472"/>
        <v>-0,0000166666666666667</v>
      </c>
      <c r="AT554" t="str">
        <f t="shared" si="473"/>
        <v>0,0220659191820718i</v>
      </c>
      <c r="AU554">
        <f t="shared" si="496"/>
        <v>2.2065919182071798E-2</v>
      </c>
      <c r="AV554">
        <f t="shared" si="497"/>
        <v>1.5707963267948966</v>
      </c>
      <c r="AW554" t="str">
        <f t="shared" si="474"/>
        <v>1+102,250535997897i</v>
      </c>
      <c r="AX554">
        <f t="shared" si="498"/>
        <v>102.25542583089286</v>
      </c>
      <c r="AY554">
        <f t="shared" si="499"/>
        <v>1.5610167387475227</v>
      </c>
      <c r="AZ554" t="str">
        <f t="shared" si="475"/>
        <v>1+4750,00217226596i</v>
      </c>
      <c r="BA554">
        <f t="shared" si="500"/>
        <v>4750.0022775290681</v>
      </c>
      <c r="BB554">
        <f t="shared" si="501"/>
        <v>1.5705858005784952</v>
      </c>
      <c r="BC554" s="41" t="str">
        <f t="shared" si="502"/>
        <v>-0,000335735229801536+0,0350844197950492i</v>
      </c>
      <c r="BD554">
        <f t="shared" si="503"/>
        <v>-29.097316347258435</v>
      </c>
      <c r="BE554" s="43">
        <f t="shared" si="504"/>
        <v>90.548266856814436</v>
      </c>
      <c r="BF554" s="41" t="str">
        <f t="shared" si="505"/>
        <v>-0,0159620467723377-0,00670072586102669i</v>
      </c>
      <c r="BG554" s="20">
        <f t="shared" si="506"/>
        <v>-35.233325823180074</v>
      </c>
      <c r="BH554" s="43">
        <f t="shared" si="507"/>
        <v>-157.2277672636003</v>
      </c>
      <c r="BI554" s="41" t="str">
        <f t="shared" si="460"/>
        <v>0,371779495382534+0,0224059620533767i</v>
      </c>
      <c r="BJ554" s="20">
        <f t="shared" si="508"/>
        <v>-8.5785459483547388</v>
      </c>
      <c r="BK554" s="43">
        <f t="shared" si="461"/>
        <v>3.4488620387751801</v>
      </c>
      <c r="BL554">
        <f t="shared" si="509"/>
        <v>-35.233325823180074</v>
      </c>
      <c r="BM554" s="43">
        <f t="shared" si="510"/>
        <v>-157.2277672636003</v>
      </c>
    </row>
    <row r="555" spans="14:65" x14ac:dyDescent="0.25">
      <c r="N555" s="9">
        <v>37</v>
      </c>
      <c r="O555" s="34">
        <f t="shared" si="462"/>
        <v>2344228.8153199251</v>
      </c>
      <c r="P555" s="33" t="str">
        <f t="shared" si="463"/>
        <v>54,631621870174</v>
      </c>
      <c r="Q555" s="4" t="str">
        <f t="shared" si="464"/>
        <v>1+65749,7855584724i</v>
      </c>
      <c r="R555" s="4">
        <f t="shared" si="476"/>
        <v>65749.785566076986</v>
      </c>
      <c r="S555" s="4">
        <f t="shared" si="477"/>
        <v>1.5707811176198183</v>
      </c>
      <c r="T555" s="4" t="str">
        <f t="shared" si="465"/>
        <v>1+222,705867622168i</v>
      </c>
      <c r="U555" s="4">
        <f t="shared" si="478"/>
        <v>222.70811272457635</v>
      </c>
      <c r="V555" s="4">
        <f t="shared" si="479"/>
        <v>1.5663061295223952</v>
      </c>
      <c r="W555" t="str">
        <f t="shared" si="466"/>
        <v>1-58,6125733854092i</v>
      </c>
      <c r="X555" s="4">
        <f t="shared" si="480"/>
        <v>58.621103357579166</v>
      </c>
      <c r="Y555" s="4">
        <f t="shared" si="481"/>
        <v>-1.5537367961998452</v>
      </c>
      <c r="Z555" t="str">
        <f t="shared" si="467"/>
        <v>-20,9816349543052+8,0528935221634i</v>
      </c>
      <c r="AA555" s="4">
        <f t="shared" si="482"/>
        <v>22.473942676687219</v>
      </c>
      <c r="AB555" s="4">
        <f t="shared" si="483"/>
        <v>2.7751234230402151</v>
      </c>
      <c r="AC555" s="47" t="str">
        <f t="shared" si="484"/>
        <v>-0,178612163963523+0,448418299604361i</v>
      </c>
      <c r="AD555" s="20">
        <f t="shared" si="485"/>
        <v>-6.3267897950581986</v>
      </c>
      <c r="AE555" s="43">
        <f t="shared" si="486"/>
        <v>111.71818140411473</v>
      </c>
      <c r="AF555" t="str">
        <f t="shared" si="468"/>
        <v>171,265703090588</v>
      </c>
      <c r="AG555" t="str">
        <f t="shared" si="469"/>
        <v>1+65120,5589642367i</v>
      </c>
      <c r="AH555">
        <f t="shared" si="487"/>
        <v>65120.558971914768</v>
      </c>
      <c r="AI555">
        <f t="shared" si="488"/>
        <v>1.5707809706613525</v>
      </c>
      <c r="AJ555" t="str">
        <f t="shared" si="470"/>
        <v>1+222,705867622168i</v>
      </c>
      <c r="AK555">
        <f t="shared" si="489"/>
        <v>222.70811272457635</v>
      </c>
      <c r="AL555">
        <f t="shared" si="490"/>
        <v>1.5663061295223952</v>
      </c>
      <c r="AM555" t="str">
        <f t="shared" si="471"/>
        <v>1-18,5177367193593i</v>
      </c>
      <c r="AN555">
        <f t="shared" si="491"/>
        <v>18.544718202429166</v>
      </c>
      <c r="AO555">
        <f t="shared" si="492"/>
        <v>-1.5168464499590508</v>
      </c>
      <c r="AP555" s="41" t="str">
        <f t="shared" si="493"/>
        <v>0,537177091782511-10,8486778375984i</v>
      </c>
      <c r="AQ555">
        <f t="shared" si="494"/>
        <v>20.718171161096045</v>
      </c>
      <c r="AR555" s="43">
        <f t="shared" si="495"/>
        <v>-87.165289263309205</v>
      </c>
      <c r="AS555" t="str">
        <f t="shared" si="472"/>
        <v>-0,0000166666666666667</v>
      </c>
      <c r="AT555" t="str">
        <f t="shared" si="473"/>
        <v>0,0225799004672476i</v>
      </c>
      <c r="AU555">
        <f t="shared" si="496"/>
        <v>2.2579900467247602E-2</v>
      </c>
      <c r="AV555">
        <f t="shared" si="497"/>
        <v>1.5707963267948966</v>
      </c>
      <c r="AW555" t="str">
        <f t="shared" si="474"/>
        <v>1+104,632256943599i</v>
      </c>
      <c r="AX555">
        <f t="shared" si="498"/>
        <v>104.63703547554911</v>
      </c>
      <c r="AY555">
        <f t="shared" si="499"/>
        <v>1.5612393356368675</v>
      </c>
      <c r="AZ555" t="str">
        <f t="shared" si="475"/>
        <v>1+4860,64393619812i</v>
      </c>
      <c r="BA555">
        <f t="shared" si="500"/>
        <v>4860.6440390651478</v>
      </c>
      <c r="BB555">
        <f t="shared" si="501"/>
        <v>1.5705905927401052</v>
      </c>
      <c r="BC555" s="41" t="str">
        <f t="shared" si="502"/>
        <v>-0,000320626035425291+0,0342859453021944i</v>
      </c>
      <c r="BD555">
        <f t="shared" si="503"/>
        <v>-29.297297662165114</v>
      </c>
      <c r="BE555" s="43">
        <f t="shared" si="504"/>
        <v>90.53578756515725</v>
      </c>
      <c r="BF555" s="41" t="str">
        <f t="shared" si="505"/>
        <v>-0,0153171775827278-0,00626766146557422i</v>
      </c>
      <c r="BG555" s="20">
        <f t="shared" si="506"/>
        <v>-35.624087457223311</v>
      </c>
      <c r="BH555" s="43">
        <f t="shared" si="507"/>
        <v>-157.74603103072801</v>
      </c>
      <c r="BI555" s="41" t="str">
        <f t="shared" si="460"/>
        <v>0,371784941979768+0,0218959929511224i</v>
      </c>
      <c r="BJ555" s="20">
        <f t="shared" si="508"/>
        <v>-8.5791265010690694</v>
      </c>
      <c r="BK555" s="43">
        <f t="shared" si="461"/>
        <v>3.3704983018480532</v>
      </c>
      <c r="BL555">
        <f t="shared" si="509"/>
        <v>-35.624087457223311</v>
      </c>
      <c r="BM555" s="43">
        <f t="shared" si="510"/>
        <v>-157.74603103072801</v>
      </c>
    </row>
    <row r="556" spans="14:65" x14ac:dyDescent="0.25">
      <c r="N556" s="9">
        <v>38</v>
      </c>
      <c r="O556" s="34">
        <f t="shared" si="462"/>
        <v>2398832.9190194933</v>
      </c>
      <c r="P556" s="33" t="str">
        <f t="shared" si="463"/>
        <v>54,631621870174</v>
      </c>
      <c r="Q556" s="4" t="str">
        <f t="shared" si="464"/>
        <v>1+67281,2948059469i</v>
      </c>
      <c r="R556" s="4">
        <f t="shared" si="476"/>
        <v>67281.294813378379</v>
      </c>
      <c r="S556" s="4">
        <f t="shared" si="477"/>
        <v>1.5707814638229101</v>
      </c>
      <c r="T556" s="4" t="str">
        <f t="shared" si="465"/>
        <v>1+227,89335367757i</v>
      </c>
      <c r="U556" s="4">
        <f t="shared" si="478"/>
        <v>227.89554767570607</v>
      </c>
      <c r="V556" s="4">
        <f t="shared" si="479"/>
        <v>1.5664083375635092</v>
      </c>
      <c r="W556" t="str">
        <f t="shared" si="466"/>
        <v>1-59,9778356048305i</v>
      </c>
      <c r="X556" s="4">
        <f t="shared" si="480"/>
        <v>59.986171438424655</v>
      </c>
      <c r="Y556" s="4">
        <f t="shared" si="481"/>
        <v>-1.5541250457403302</v>
      </c>
      <c r="Z556" t="str">
        <f t="shared" si="467"/>
        <v>-22,0175974934864+8,24046950881286i</v>
      </c>
      <c r="AA556" s="4">
        <f t="shared" si="482"/>
        <v>23.509145818401251</v>
      </c>
      <c r="AB556" s="4">
        <f t="shared" si="483"/>
        <v>2.783464395876734</v>
      </c>
      <c r="AC556" s="47" t="str">
        <f t="shared" si="484"/>
        <v>-0,17093224665975+0,440145673704937i</v>
      </c>
      <c r="AD556" s="20">
        <f t="shared" si="485"/>
        <v>-6.5180022355466019</v>
      </c>
      <c r="AE556" s="43">
        <f t="shared" si="486"/>
        <v>111.22387005689325</v>
      </c>
      <c r="AF556" t="str">
        <f t="shared" si="468"/>
        <v>171,265703090588</v>
      </c>
      <c r="AG556" t="str">
        <f t="shared" si="469"/>
        <v>1+66637,4116415089i</v>
      </c>
      <c r="AH556">
        <f t="shared" si="487"/>
        <v>66637.411649012181</v>
      </c>
      <c r="AI556">
        <f t="shared" si="488"/>
        <v>1.5707813202096272</v>
      </c>
      <c r="AJ556" t="str">
        <f t="shared" si="470"/>
        <v>1+227,89335367757i</v>
      </c>
      <c r="AK556">
        <f t="shared" si="489"/>
        <v>227.89554767570607</v>
      </c>
      <c r="AL556">
        <f t="shared" si="490"/>
        <v>1.5664083375635092</v>
      </c>
      <c r="AM556" t="str">
        <f t="shared" si="471"/>
        <v>1-18,9490702178204i</v>
      </c>
      <c r="AN556">
        <f t="shared" si="491"/>
        <v>18.975438390716775</v>
      </c>
      <c r="AO556">
        <f t="shared" si="492"/>
        <v>-1.5180721980909941</v>
      </c>
      <c r="AP556" s="41" t="str">
        <f t="shared" si="493"/>
        <v>0,537177089970529-11,1012552609266i</v>
      </c>
      <c r="AQ556">
        <f t="shared" si="494"/>
        <v>20.917598817293804</v>
      </c>
      <c r="AR556" s="43">
        <f t="shared" si="495"/>
        <v>-87.229683396268356</v>
      </c>
      <c r="AS556" t="str">
        <f t="shared" si="472"/>
        <v>-0,0000166666666666667</v>
      </c>
      <c r="AT556" t="str">
        <f t="shared" si="473"/>
        <v>0,0231058539145313i</v>
      </c>
      <c r="AU556">
        <f t="shared" si="496"/>
        <v>2.31058539145313E-2</v>
      </c>
      <c r="AV556">
        <f t="shared" si="497"/>
        <v>1.5707963267948966</v>
      </c>
      <c r="AW556" t="str">
        <f t="shared" si="474"/>
        <v>1+107,069455296904i</v>
      </c>
      <c r="AX556">
        <f t="shared" si="498"/>
        <v>107.07412506098625</v>
      </c>
      <c r="AY556">
        <f t="shared" si="499"/>
        <v>1.5614568665175912</v>
      </c>
      <c r="AZ556" t="str">
        <f t="shared" si="475"/>
        <v>1+4973,86287788346i</v>
      </c>
      <c r="BA556">
        <f t="shared" si="500"/>
        <v>4973.8629784089489</v>
      </c>
      <c r="BB556">
        <f t="shared" si="501"/>
        <v>1.5705952758188086</v>
      </c>
      <c r="BC556" s="41" t="str">
        <f t="shared" si="502"/>
        <v>-0,000306196745392092+0,0335056366706589i</v>
      </c>
      <c r="BD556">
        <f t="shared" si="503"/>
        <v>-29.497279817964404</v>
      </c>
      <c r="BE556" s="43">
        <f t="shared" si="504"/>
        <v>90.523592284422861</v>
      </c>
      <c r="BF556" s="41" t="str">
        <f t="shared" si="505"/>
        <v>-0,0146950221277102-0,00586196492466789i</v>
      </c>
      <c r="BG556" s="20">
        <f t="shared" si="506"/>
        <v>-36.015282053511022</v>
      </c>
      <c r="BH556" s="43">
        <f t="shared" si="507"/>
        <v>-158.25253765868385</v>
      </c>
      <c r="BI556" s="41" t="str">
        <f t="shared" si="460"/>
        <v>0,371790143484199+0,021397628635017i</v>
      </c>
      <c r="BJ556" s="20">
        <f t="shared" si="508"/>
        <v>-8.5796810006706021</v>
      </c>
      <c r="BK556" s="43">
        <f t="shared" si="461"/>
        <v>3.2939088881545122</v>
      </c>
      <c r="BL556">
        <f t="shared" si="509"/>
        <v>-36.015282053511022</v>
      </c>
      <c r="BM556" s="43">
        <f t="shared" si="510"/>
        <v>-158.25253765868385</v>
      </c>
    </row>
    <row r="557" spans="14:65" x14ac:dyDescent="0.25">
      <c r="N557" s="9">
        <v>39</v>
      </c>
      <c r="O557" s="34">
        <f t="shared" si="462"/>
        <v>2454708.915685033</v>
      </c>
      <c r="P557" s="33" t="str">
        <f t="shared" si="463"/>
        <v>54,631621870174</v>
      </c>
      <c r="Q557" s="4" t="str">
        <f t="shared" si="464"/>
        <v>1+68848,4774865009i</v>
      </c>
      <c r="R557" s="4">
        <f t="shared" si="476"/>
        <v>68848.477493763217</v>
      </c>
      <c r="S557" s="4">
        <f t="shared" si="477"/>
        <v>1.5707818021454572</v>
      </c>
      <c r="T557" s="4" t="str">
        <f t="shared" si="465"/>
        <v>1+233,201671805616i</v>
      </c>
      <c r="U557" s="4">
        <f t="shared" si="478"/>
        <v>233.20381586272174</v>
      </c>
      <c r="V557" s="4">
        <f t="shared" si="479"/>
        <v>1.5665082191541548</v>
      </c>
      <c r="W557" t="str">
        <f t="shared" si="466"/>
        <v>1-61,37489886659i</v>
      </c>
      <c r="X557" s="4">
        <f t="shared" si="480"/>
        <v>61.383044978920282</v>
      </c>
      <c r="Y557" s="4">
        <f t="shared" si="481"/>
        <v>-1.5545044624993565</v>
      </c>
      <c r="Z557" t="str">
        <f t="shared" si="467"/>
        <v>-23,1023834429743+8,43241470147141i</v>
      </c>
      <c r="AA557" s="4">
        <f t="shared" si="482"/>
        <v>24.593205127510412</v>
      </c>
      <c r="AB557" s="4">
        <f t="shared" si="483"/>
        <v>2.7916160891531021</v>
      </c>
      <c r="AC557" s="47" t="str">
        <f t="shared" si="484"/>
        <v>-0,163566476673427+0,431936187913268i</v>
      </c>
      <c r="AD557" s="20">
        <f t="shared" si="485"/>
        <v>-6.7096259686553044</v>
      </c>
      <c r="AE557" s="43">
        <f t="shared" si="486"/>
        <v>110.74077686644441</v>
      </c>
      <c r="AF557" t="str">
        <f t="shared" si="468"/>
        <v>171,265703090588</v>
      </c>
      <c r="AG557" t="str">
        <f t="shared" si="469"/>
        <v>1+68189,5963564838i</v>
      </c>
      <c r="AH557">
        <f t="shared" si="487"/>
        <v>68189.596363816294</v>
      </c>
      <c r="AI557">
        <f t="shared" si="488"/>
        <v>1.570781661801212</v>
      </c>
      <c r="AJ557" t="str">
        <f t="shared" si="470"/>
        <v>1+233,201671805616i</v>
      </c>
      <c r="AK557">
        <f t="shared" si="489"/>
        <v>233.20381586272174</v>
      </c>
      <c r="AL557">
        <f t="shared" si="490"/>
        <v>1.5665082191541548</v>
      </c>
      <c r="AM557" t="str">
        <f t="shared" si="471"/>
        <v>1-19,3904507641315i</v>
      </c>
      <c r="AN557">
        <f t="shared" si="491"/>
        <v>19.416219529975653</v>
      </c>
      <c r="AO557">
        <f t="shared" si="492"/>
        <v>-1.5192701980407231</v>
      </c>
      <c r="AP557" s="41" t="str">
        <f t="shared" si="493"/>
        <v>0,5371770882401-11,3597187167365i</v>
      </c>
      <c r="AQ557">
        <f t="shared" si="494"/>
        <v>21.117052163748365</v>
      </c>
      <c r="AR557" s="43">
        <f t="shared" si="495"/>
        <v>-87.292620515405773</v>
      </c>
      <c r="AS557" t="str">
        <f t="shared" si="472"/>
        <v>-0,0000166666666666667</v>
      </c>
      <c r="AT557" t="str">
        <f t="shared" si="473"/>
        <v>0,0236440583914028i</v>
      </c>
      <c r="AU557">
        <f t="shared" si="496"/>
        <v>2.3644058391402802E-2</v>
      </c>
      <c r="AV557">
        <f t="shared" si="497"/>
        <v>1.5707963267948966</v>
      </c>
      <c r="AW557" t="str">
        <f t="shared" si="474"/>
        <v>1+109,563423292639i</v>
      </c>
      <c r="AX557">
        <f t="shared" si="498"/>
        <v>109.56798676439206</v>
      </c>
      <c r="AY557">
        <f t="shared" si="499"/>
        <v>1.5616694466450511</v>
      </c>
      <c r="AZ557" t="str">
        <f t="shared" si="475"/>
        <v>1+5089,71902750352i</v>
      </c>
      <c r="BA557">
        <f t="shared" si="500"/>
        <v>5089.7191257407685</v>
      </c>
      <c r="BB557">
        <f t="shared" si="501"/>
        <v>1.5705998522976348</v>
      </c>
      <c r="BC557" s="41" t="str">
        <f t="shared" si="502"/>
        <v>-0,000292416769648259+0,0327430810380691i</v>
      </c>
      <c r="BD557">
        <f t="shared" si="503"/>
        <v>-29.697262776816544</v>
      </c>
      <c r="BE557" s="43">
        <f t="shared" si="504"/>
        <v>90.511674553232808</v>
      </c>
      <c r="BF557" s="41" t="str">
        <f t="shared" si="505"/>
        <v>-0,0140950920233872-0,00548197578559324i</v>
      </c>
      <c r="BG557" s="20">
        <f t="shared" si="506"/>
        <v>-36.406888745471839</v>
      </c>
      <c r="BH557" s="43">
        <f t="shared" si="507"/>
        <v>-158.74754858032279</v>
      </c>
      <c r="BI557" s="41" t="str">
        <f t="shared" si="460"/>
        <v>0,371795110922901+0,0209106051833005i</v>
      </c>
      <c r="BJ557" s="20">
        <f t="shared" si="508"/>
        <v>-8.5802106130681839</v>
      </c>
      <c r="BK557" s="43">
        <f t="shared" si="461"/>
        <v>3.2190540378270489</v>
      </c>
      <c r="BL557">
        <f t="shared" si="509"/>
        <v>-36.406888745471839</v>
      </c>
      <c r="BM557" s="43">
        <f t="shared" si="510"/>
        <v>-158.74754858032279</v>
      </c>
    </row>
    <row r="558" spans="14:65" x14ac:dyDescent="0.25">
      <c r="N558" s="9">
        <v>40</v>
      </c>
      <c r="O558" s="34">
        <f t="shared" si="462"/>
        <v>2511886.431509587</v>
      </c>
      <c r="P558" s="33" t="str">
        <f t="shared" si="463"/>
        <v>54,631621870174</v>
      </c>
      <c r="Q558" s="4" t="str">
        <f t="shared" si="464"/>
        <v>1+70452,1645411359i</v>
      </c>
      <c r="R558" s="4">
        <f t="shared" si="476"/>
        <v>70452.164548232919</v>
      </c>
      <c r="S558" s="4">
        <f t="shared" si="477"/>
        <v>1.570782132766843</v>
      </c>
      <c r="T558" s="4" t="str">
        <f t="shared" si="465"/>
        <v>1+238,633636546844i</v>
      </c>
      <c r="U558" s="4">
        <f t="shared" si="478"/>
        <v>238.63573179968512</v>
      </c>
      <c r="V558" s="4">
        <f t="shared" si="479"/>
        <v>1.5666058272448971</v>
      </c>
      <c r="W558" t="str">
        <f t="shared" si="466"/>
        <v>1-62,8045039121218i</v>
      </c>
      <c r="X558" s="4">
        <f t="shared" si="480"/>
        <v>62.812464620071417</v>
      </c>
      <c r="Y558" s="4">
        <f t="shared" si="481"/>
        <v>-1.5548752472115033</v>
      </c>
      <c r="Z558" t="str">
        <f t="shared" si="467"/>
        <v>-24,2382937792079+8,62883087202094i</v>
      </c>
      <c r="AA558" s="4">
        <f t="shared" si="482"/>
        <v>25.728420230265407</v>
      </c>
      <c r="AB558" s="4">
        <f t="shared" si="483"/>
        <v>2.7995827172576941</v>
      </c>
      <c r="AC558" s="47" t="str">
        <f t="shared" si="484"/>
        <v>-0,156503471084557+0,423796312953546i</v>
      </c>
      <c r="AD558" s="20">
        <f t="shared" si="485"/>
        <v>-6.9016412080506564</v>
      </c>
      <c r="AE558" s="43">
        <f t="shared" si="486"/>
        <v>110.26865188842298</v>
      </c>
      <c r="AF558" t="str">
        <f t="shared" si="468"/>
        <v>171,265703090588</v>
      </c>
      <c r="AG558" t="str">
        <f t="shared" si="469"/>
        <v>1+69777,9360980434i</v>
      </c>
      <c r="AH558">
        <f t="shared" si="487"/>
        <v>69777.936105208981</v>
      </c>
      <c r="AI558">
        <f t="shared" si="488"/>
        <v>1.5707819956172229</v>
      </c>
      <c r="AJ558" t="str">
        <f t="shared" si="470"/>
        <v>1+238,633636546844i</v>
      </c>
      <c r="AK558">
        <f t="shared" si="489"/>
        <v>238.63573179968512</v>
      </c>
      <c r="AL558">
        <f t="shared" si="490"/>
        <v>1.5666058272448971</v>
      </c>
      <c r="AM558" t="str">
        <f t="shared" si="471"/>
        <v>1-19,8421123841008i</v>
      </c>
      <c r="AN558">
        <f t="shared" si="491"/>
        <v>19.867295333368514</v>
      </c>
      <c r="AO558">
        <f t="shared" si="492"/>
        <v>-1.5204410712408718</v>
      </c>
      <c r="AP558" s="41" t="str">
        <f t="shared" si="493"/>
        <v>0,537177086587553-11,6242052457738i</v>
      </c>
      <c r="AQ558">
        <f t="shared" si="494"/>
        <v>21.316530050303562</v>
      </c>
      <c r="AR558" s="43">
        <f t="shared" si="495"/>
        <v>-87.354133202721968</v>
      </c>
      <c r="AS558" t="str">
        <f t="shared" si="472"/>
        <v>-0,0000166666666666667</v>
      </c>
      <c r="AT558" t="str">
        <f t="shared" si="473"/>
        <v>0,0241947992609994i</v>
      </c>
      <c r="AU558">
        <f t="shared" si="496"/>
        <v>2.4194799260999399E-2</v>
      </c>
      <c r="AV558">
        <f t="shared" si="497"/>
        <v>1.5707963267948966</v>
      </c>
      <c r="AW558" t="str">
        <f t="shared" si="474"/>
        <v>1+112,115483265648i</v>
      </c>
      <c r="AX558">
        <f t="shared" si="498"/>
        <v>112.11994286428171</v>
      </c>
      <c r="AY558">
        <f t="shared" si="499"/>
        <v>1.5618771886551481</v>
      </c>
      <c r="AZ558" t="str">
        <f t="shared" si="475"/>
        <v>1+5208,27381352238i</v>
      </c>
      <c r="BA558">
        <f t="shared" si="500"/>
        <v>5208.2739095234765</v>
      </c>
      <c r="BB558">
        <f t="shared" si="501"/>
        <v>1.5706043246030925</v>
      </c>
      <c r="BC558" s="41" t="str">
        <f t="shared" si="502"/>
        <v>-0,000279256893979547+0,0319978748970351i</v>
      </c>
      <c r="BD558">
        <f t="shared" si="503"/>
        <v>-29.897246502584171</v>
      </c>
      <c r="BE558" s="43">
        <f t="shared" si="504"/>
        <v>90.500028057054109</v>
      </c>
      <c r="BF558" s="41" t="str">
        <f t="shared" si="505"/>
        <v>-0,0135168767304802-0,0051261265307508i</v>
      </c>
      <c r="BG558" s="20">
        <f t="shared" si="506"/>
        <v>-36.79888771063483</v>
      </c>
      <c r="BH558" s="43">
        <f t="shared" si="507"/>
        <v>-159.23132005452288</v>
      </c>
      <c r="BI558" s="41" t="str">
        <f t="shared" si="460"/>
        <v>0,371799854827012+0,0204346646660979i</v>
      </c>
      <c r="BJ558" s="20">
        <f t="shared" si="508"/>
        <v>-8.580716452280603</v>
      </c>
      <c r="BK558" s="43">
        <f t="shared" si="461"/>
        <v>3.1458948543321563</v>
      </c>
      <c r="BL558">
        <f t="shared" si="509"/>
        <v>-36.79888771063483</v>
      </c>
      <c r="BM558" s="43">
        <f t="shared" si="510"/>
        <v>-159.23132005452288</v>
      </c>
    </row>
    <row r="559" spans="14:65" x14ac:dyDescent="0.25">
      <c r="N559" s="9">
        <v>41</v>
      </c>
      <c r="O559" s="34">
        <f t="shared" si="462"/>
        <v>2570395.782768866</v>
      </c>
      <c r="P559" s="33" t="str">
        <f t="shared" si="463"/>
        <v>54,631621870174</v>
      </c>
      <c r="Q559" s="4" t="str">
        <f t="shared" si="464"/>
        <v>1+72093,2062659548i</v>
      </c>
      <c r="R559" s="4">
        <f t="shared" si="476"/>
        <v>72093.206272890253</v>
      </c>
      <c r="S559" s="4">
        <f t="shared" si="477"/>
        <v>1.5707824558623673</v>
      </c>
      <c r="T559" s="4" t="str">
        <f t="shared" si="465"/>
        <v>1+244,192128000857i</v>
      </c>
      <c r="U559" s="4">
        <f t="shared" si="478"/>
        <v>244.19417556032519</v>
      </c>
      <c r="V559" s="4">
        <f t="shared" si="479"/>
        <v>1.5667012135813938</v>
      </c>
      <c r="W559" t="str">
        <f t="shared" si="466"/>
        <v>1-64,2674087369433i</v>
      </c>
      <c r="X559" s="4">
        <f t="shared" si="480"/>
        <v>64.275188259244601</v>
      </c>
      <c r="Y559" s="4">
        <f t="shared" si="481"/>
        <v>-1.5552375960636911</v>
      </c>
      <c r="Z559" t="str">
        <f t="shared" si="467"/>
        <v>-25,4277379203039+8,82982216291483i</v>
      </c>
      <c r="AA559" s="4">
        <f t="shared" si="482"/>
        <v>26.917199244578974</v>
      </c>
      <c r="AB559" s="4">
        <f t="shared" si="483"/>
        <v>2.8073684106384578</v>
      </c>
      <c r="AC559" s="47" t="str">
        <f t="shared" si="484"/>
        <v>-0,14973211984726+0,415731895109764i</v>
      </c>
      <c r="AD559" s="20">
        <f t="shared" si="485"/>
        <v>-7.0940291557115263</v>
      </c>
      <c r="AE559" s="43">
        <f t="shared" si="486"/>
        <v>109.80725017967491</v>
      </c>
      <c r="AF559" t="str">
        <f t="shared" si="468"/>
        <v>171,265703090588</v>
      </c>
      <c r="AG559" t="str">
        <f t="shared" si="469"/>
        <v>1+71403,2730249419i</v>
      </c>
      <c r="AH559">
        <f t="shared" si="487"/>
        <v>71403.27303194438</v>
      </c>
      <c r="AI559">
        <f t="shared" si="488"/>
        <v>1.5707823218346537</v>
      </c>
      <c r="AJ559" t="str">
        <f t="shared" si="470"/>
        <v>1+244,192128000857i</v>
      </c>
      <c r="AK559">
        <f t="shared" si="489"/>
        <v>244.19417556032519</v>
      </c>
      <c r="AL559">
        <f t="shared" si="490"/>
        <v>1.5667012135813938</v>
      </c>
      <c r="AM559" t="str">
        <f t="shared" si="471"/>
        <v>1-20,3042945546975i</v>
      </c>
      <c r="AN559">
        <f t="shared" si="491"/>
        <v>20.328904972081464</v>
      </c>
      <c r="AO559">
        <f t="shared" si="492"/>
        <v>-1.5215854256550065</v>
      </c>
      <c r="AP559" s="41" t="str">
        <f t="shared" si="493"/>
        <v>0,537177085009382-11,8948550822969i</v>
      </c>
      <c r="AQ559">
        <f t="shared" si="494"/>
        <v>21.516031378034143</v>
      </c>
      <c r="AR559" s="43">
        <f t="shared" si="495"/>
        <v>-87.414253337296572</v>
      </c>
      <c r="AS559" t="str">
        <f t="shared" si="472"/>
        <v>-0,0000166666666666667</v>
      </c>
      <c r="AT559" t="str">
        <f t="shared" si="473"/>
        <v>0,0247583685334202i</v>
      </c>
      <c r="AU559">
        <f t="shared" si="496"/>
        <v>2.47583685334202E-2</v>
      </c>
      <c r="AV559">
        <f t="shared" si="497"/>
        <v>1.5707963267948966</v>
      </c>
      <c r="AW559" t="str">
        <f t="shared" si="474"/>
        <v>1+114,726988351908i</v>
      </c>
      <c r="AX559">
        <f t="shared" si="498"/>
        <v>114.73134644158429</v>
      </c>
      <c r="AY559">
        <f t="shared" si="499"/>
        <v>1.5620802026236806</v>
      </c>
      <c r="AZ559" t="str">
        <f t="shared" si="475"/>
        <v>1+5329,5900952568i</v>
      </c>
      <c r="BA559">
        <f t="shared" si="500"/>
        <v>5329.5901890726436</v>
      </c>
      <c r="BB559">
        <f t="shared" si="501"/>
        <v>1.5706086951064568</v>
      </c>
      <c r="BC559" s="41" t="str">
        <f t="shared" si="502"/>
        <v>-0,000266689218170842+0,0312696238850671i</v>
      </c>
      <c r="BD559">
        <f t="shared" si="503"/>
        <v>-30.097230960755983</v>
      </c>
      <c r="BE559" s="43">
        <f t="shared" si="504"/>
        <v>90.488646624872132</v>
      </c>
      <c r="BF559" s="41" t="str">
        <f t="shared" si="505"/>
        <v>-0,0129598480551314-0,00479293828521312i</v>
      </c>
      <c r="BG559" s="20">
        <f t="shared" si="506"/>
        <v>-37.191260116467483</v>
      </c>
      <c r="BH559" s="43">
        <f t="shared" si="507"/>
        <v>-159.704103195453</v>
      </c>
      <c r="BI559" s="41" t="str">
        <f t="shared" si="460"/>
        <v>0,371804385253982+0,0199695550100733i</v>
      </c>
      <c r="BJ559" s="20">
        <f t="shared" si="508"/>
        <v>-8.5811995827218528</v>
      </c>
      <c r="BK559" s="43">
        <f t="shared" si="461"/>
        <v>3.0743932875755622</v>
      </c>
      <c r="BL559">
        <f t="shared" si="509"/>
        <v>-37.191260116467483</v>
      </c>
      <c r="BM559" s="43">
        <f t="shared" si="510"/>
        <v>-159.704103195453</v>
      </c>
    </row>
    <row r="560" spans="14:65" ht="15.75" thickBot="1" x14ac:dyDescent="0.3">
      <c r="N560" s="9">
        <v>42</v>
      </c>
      <c r="O560" s="34">
        <f t="shared" si="462"/>
        <v>2630267.9918953842</v>
      </c>
      <c r="P560" s="33" t="str">
        <f t="shared" si="463"/>
        <v>54,631621870174</v>
      </c>
      <c r="Q560" s="4" t="str">
        <f t="shared" si="464"/>
        <v>1+73772,4727630024i</v>
      </c>
      <c r="R560" s="4">
        <f t="shared" si="476"/>
        <v>73772.472769779997</v>
      </c>
      <c r="S560" s="4">
        <f t="shared" si="477"/>
        <v>1.5707827716033396</v>
      </c>
      <c r="T560" s="4" t="str">
        <f t="shared" si="465"/>
        <v>1+249,880093353402i</v>
      </c>
      <c r="U560" s="4">
        <f t="shared" si="478"/>
        <v>249.882094305104</v>
      </c>
      <c r="V560" s="4">
        <f t="shared" si="479"/>
        <v>1.5667944287317965</v>
      </c>
      <c r="W560" t="str">
        <f t="shared" si="466"/>
        <v>1-65,7643889925569i</v>
      </c>
      <c r="X560" s="4">
        <f t="shared" si="480"/>
        <v>65.771991452018085</v>
      </c>
      <c r="Y560" s="4">
        <f t="shared" si="481"/>
        <v>-1.5555917007972575</v>
      </c>
      <c r="Z560" t="str">
        <f t="shared" si="467"/>
        <v>-26,6732388367575+9,03549514239603i</v>
      </c>
      <c r="AA560" s="4">
        <f t="shared" si="482"/>
        <v>28.16206388940574</v>
      </c>
      <c r="AB560" s="4">
        <f t="shared" si="483"/>
        <v>2.814977216335758</v>
      </c>
      <c r="AC560" s="42" t="str">
        <f t="shared" si="484"/>
        <v>-0,14324159402578+0,407748196502877i</v>
      </c>
      <c r="AD560" s="46">
        <f t="shared" si="485"/>
        <v>-7.2867719506533053</v>
      </c>
      <c r="AE560" s="45">
        <f t="shared" si="486"/>
        <v>109.35633176342523</v>
      </c>
      <c r="AF560" t="str">
        <f t="shared" si="468"/>
        <v>171,265703090588</v>
      </c>
      <c r="AG560" t="str">
        <f t="shared" si="469"/>
        <v>1+73066,4689123324i</v>
      </c>
      <c r="AH560">
        <f t="shared" si="487"/>
        <v>73066.468919175502</v>
      </c>
      <c r="AI560">
        <f t="shared" si="488"/>
        <v>1.5707826406264691</v>
      </c>
      <c r="AJ560" t="str">
        <f t="shared" si="470"/>
        <v>1+249,880093353402i</v>
      </c>
      <c r="AK560">
        <f t="shared" si="489"/>
        <v>249.882094305104</v>
      </c>
      <c r="AL560">
        <f t="shared" si="490"/>
        <v>1.5667944287317965</v>
      </c>
      <c r="AM560" t="str">
        <f t="shared" si="471"/>
        <v>1-20,7772423310262i</v>
      </c>
      <c r="AN560">
        <f t="shared" si="491"/>
        <v>20.80129320215902</v>
      </c>
      <c r="AO560">
        <f t="shared" si="492"/>
        <v>-1.5227038560394888</v>
      </c>
      <c r="AP560" s="44" t="str">
        <f t="shared" si="493"/>
        <v>0,53717708350224-12,1718117284316i</v>
      </c>
      <c r="AQ560" s="39">
        <f t="shared" si="494"/>
        <v>21.715555096987202</v>
      </c>
      <c r="AR560" s="45">
        <f t="shared" si="495"/>
        <v>-87.473012108727403</v>
      </c>
      <c r="AS560" t="str">
        <f t="shared" si="472"/>
        <v>-0,0000166666666666667</v>
      </c>
      <c r="AT560" t="str">
        <f t="shared" si="473"/>
        <v>0,0253350650205533i</v>
      </c>
      <c r="AU560">
        <f t="shared" si="496"/>
        <v>2.5335065020553299E-2</v>
      </c>
      <c r="AV560">
        <f t="shared" si="497"/>
        <v>1.5707963267948966</v>
      </c>
      <c r="AW560" t="str">
        <f t="shared" si="474"/>
        <v>1+117,399323205983i</v>
      </c>
      <c r="AX560">
        <f t="shared" si="498"/>
        <v>117.40358209706746</v>
      </c>
      <c r="AY560">
        <f t="shared" si="499"/>
        <v>1.5622785961243664</v>
      </c>
      <c r="AZ560" t="str">
        <f t="shared" si="475"/>
        <v>1+5453,73219620519i</v>
      </c>
      <c r="BA560">
        <f t="shared" si="500"/>
        <v>5453.7322878855248</v>
      </c>
      <c r="BB560">
        <f t="shared" si="501"/>
        <v>1.5706129661250257</v>
      </c>
      <c r="BC560" s="44" t="str">
        <f t="shared" si="502"/>
        <v>-0,000254687096941856+0,0305579425790847i</v>
      </c>
      <c r="BD560" s="39">
        <f t="shared" si="503"/>
        <v>-30.297216118373349</v>
      </c>
      <c r="BE560" s="45">
        <f t="shared" si="504"/>
        <v>90.477524225938225</v>
      </c>
      <c r="BF560" s="44" t="str">
        <f t="shared" si="505"/>
        <v>-0,0124234641897165-0,00448101660962694i</v>
      </c>
      <c r="BG560" s="46">
        <f t="shared" si="506"/>
        <v>-37.583988069026667</v>
      </c>
      <c r="BH560" s="45">
        <f t="shared" si="507"/>
        <v>-160.16614401063651</v>
      </c>
      <c r="BI560" s="44" t="str">
        <f t="shared" si="460"/>
        <v>0,371808711808902+0,0195150298660987i</v>
      </c>
      <c r="BJ560" s="46">
        <f t="shared" si="508"/>
        <v>-8.581661021386136</v>
      </c>
      <c r="BK560" s="45">
        <f t="shared" si="461"/>
        <v>3.0045121172108149</v>
      </c>
      <c r="BL560" s="39">
        <f t="shared" si="509"/>
        <v>-37.583988069026667</v>
      </c>
      <c r="BM560" s="45">
        <f t="shared" si="510"/>
        <v>-160.16614401063651</v>
      </c>
    </row>
    <row r="561" spans="14:30" x14ac:dyDescent="0.25">
      <c r="N561" s="9"/>
      <c r="P561" s="33"/>
      <c r="Q561" s="4"/>
      <c r="R561" s="4"/>
      <c r="S561" s="4"/>
      <c r="T561" s="4"/>
      <c r="U561" s="4"/>
      <c r="V561" s="4"/>
      <c r="X561" s="4"/>
      <c r="Y561" s="4"/>
      <c r="AA561" s="4"/>
      <c r="AB561" s="4"/>
      <c r="AC561" s="4"/>
      <c r="AD561" s="20"/>
    </row>
    <row r="562" spans="14:30" x14ac:dyDescent="0.25">
      <c r="N562" s="9"/>
      <c r="P562" s="33"/>
      <c r="Q562" s="4"/>
      <c r="R562" s="4"/>
      <c r="S562" s="4"/>
      <c r="T562" s="4"/>
      <c r="U562" s="4"/>
      <c r="V562" s="4"/>
      <c r="X562" s="4"/>
      <c r="Y562" s="4"/>
      <c r="AA562" s="4"/>
      <c r="AB562" s="4"/>
      <c r="AC562" s="4"/>
      <c r="AD562" s="20"/>
    </row>
    <row r="563" spans="14:30" x14ac:dyDescent="0.25">
      <c r="N563" s="9"/>
      <c r="P563" s="33"/>
      <c r="Q563" s="4"/>
      <c r="R563" s="4"/>
      <c r="S563" s="4"/>
      <c r="T563" s="4"/>
      <c r="U563" s="4"/>
      <c r="V563" s="4"/>
      <c r="X563" s="4"/>
      <c r="Y563" s="4"/>
      <c r="AA563" s="4"/>
      <c r="AB563" s="4"/>
      <c r="AC563" s="4"/>
      <c r="AD563" s="20"/>
    </row>
    <row r="564" spans="14:30" x14ac:dyDescent="0.25">
      <c r="N564" s="9"/>
      <c r="P564" s="33"/>
      <c r="Q564" s="4"/>
      <c r="R564" s="4"/>
      <c r="S564" s="4"/>
      <c r="T564" s="4"/>
      <c r="U564" s="4"/>
      <c r="V564" s="4"/>
      <c r="X564" s="4"/>
      <c r="Y564" s="4"/>
      <c r="AA564" s="4"/>
      <c r="AB564" s="4"/>
      <c r="AC564" s="4"/>
      <c r="AD564" s="20"/>
    </row>
    <row r="565" spans="14:30" x14ac:dyDescent="0.25">
      <c r="N565" s="9"/>
      <c r="P565" s="33"/>
      <c r="Q565" s="4"/>
      <c r="R565" s="4"/>
      <c r="S565" s="4"/>
      <c r="T565" s="4"/>
      <c r="U565" s="4"/>
      <c r="V565" s="4"/>
      <c r="X565" s="4"/>
      <c r="Y565" s="4"/>
      <c r="AA565" s="4"/>
      <c r="AB565" s="4"/>
      <c r="AC565" s="4"/>
      <c r="AD565" s="20"/>
    </row>
    <row r="566" spans="14:30" x14ac:dyDescent="0.25">
      <c r="N566" s="9"/>
      <c r="P566" s="33"/>
      <c r="Q566" s="4"/>
      <c r="R566" s="4"/>
      <c r="S566" s="4"/>
      <c r="T566" s="4"/>
      <c r="U566" s="4"/>
      <c r="V566" s="4"/>
      <c r="X566" s="4"/>
      <c r="Y566" s="4"/>
      <c r="AA566" s="4"/>
      <c r="AB566" s="4"/>
      <c r="AC566" s="4"/>
      <c r="AD566" s="20"/>
    </row>
    <row r="567" spans="14:30" x14ac:dyDescent="0.25">
      <c r="N567" s="9"/>
      <c r="P567" s="33"/>
      <c r="Q567" s="4"/>
      <c r="R567" s="4"/>
      <c r="S567" s="4"/>
      <c r="T567" s="4"/>
      <c r="U567" s="4"/>
      <c r="V567" s="4"/>
      <c r="X567" s="4"/>
      <c r="Y567" s="4"/>
      <c r="AA567" s="4"/>
      <c r="AB567" s="4"/>
      <c r="AC567" s="4"/>
      <c r="AD567" s="20"/>
    </row>
    <row r="568" spans="14:30" x14ac:dyDescent="0.25">
      <c r="N568" s="9"/>
      <c r="P568" s="33"/>
      <c r="Q568" s="4"/>
      <c r="R568" s="4"/>
      <c r="S568" s="4"/>
      <c r="T568" s="4"/>
      <c r="U568" s="4"/>
      <c r="V568" s="4"/>
      <c r="X568" s="4"/>
      <c r="Y568" s="4"/>
      <c r="AA568" s="4"/>
      <c r="AB568" s="4"/>
      <c r="AC568" s="4"/>
      <c r="AD568" s="20"/>
    </row>
    <row r="569" spans="14:30" x14ac:dyDescent="0.25">
      <c r="N569" s="9"/>
      <c r="P569" s="33"/>
      <c r="Q569" s="4"/>
      <c r="R569" s="4"/>
      <c r="S569" s="4"/>
      <c r="T569" s="4"/>
      <c r="U569" s="4"/>
      <c r="V569" s="4"/>
      <c r="X569" s="4"/>
      <c r="Y569" s="4"/>
      <c r="AA569" s="4"/>
      <c r="AB569" s="4"/>
      <c r="AC569" s="4"/>
      <c r="AD569" s="20"/>
    </row>
    <row r="570" spans="14:30" x14ac:dyDescent="0.25">
      <c r="N570" s="9"/>
      <c r="P570" s="33"/>
      <c r="Q570" s="4"/>
      <c r="R570" s="4"/>
      <c r="S570" s="4"/>
      <c r="T570" s="4"/>
      <c r="U570" s="4"/>
      <c r="V570" s="4"/>
      <c r="X570" s="4"/>
      <c r="Y570" s="4"/>
      <c r="AA570" s="4"/>
      <c r="AB570" s="4"/>
      <c r="AC570" s="4"/>
      <c r="AD570" s="20"/>
    </row>
    <row r="571" spans="14:30" x14ac:dyDescent="0.25">
      <c r="N571" s="9"/>
      <c r="P571" s="33"/>
      <c r="Q571" s="4"/>
      <c r="R571" s="4"/>
      <c r="S571" s="4"/>
      <c r="T571" s="4"/>
      <c r="U571" s="4"/>
      <c r="V571" s="4"/>
      <c r="X571" s="4"/>
      <c r="Y571" s="4"/>
      <c r="AA571" s="4"/>
      <c r="AB571" s="4"/>
      <c r="AC571" s="4"/>
      <c r="AD571" s="20"/>
    </row>
    <row r="572" spans="14:30" x14ac:dyDescent="0.25">
      <c r="N572" s="9"/>
      <c r="P572" s="33"/>
      <c r="Q572" s="4"/>
      <c r="R572" s="4"/>
      <c r="S572" s="4"/>
      <c r="T572" s="4"/>
      <c r="U572" s="4"/>
      <c r="V572" s="4"/>
      <c r="X572" s="4"/>
      <c r="Y572" s="4"/>
      <c r="AA572" s="4"/>
      <c r="AB572" s="4"/>
      <c r="AC572" s="4"/>
      <c r="AD572" s="20"/>
    </row>
    <row r="573" spans="14:30" x14ac:dyDescent="0.25">
      <c r="N573" s="9"/>
      <c r="P573" s="33"/>
      <c r="Q573" s="4"/>
      <c r="R573" s="4"/>
      <c r="S573" s="4"/>
      <c r="T573" s="4"/>
      <c r="U573" s="4"/>
      <c r="V573" s="4"/>
      <c r="X573" s="4"/>
      <c r="Y573" s="4"/>
      <c r="AA573" s="4"/>
      <c r="AB573" s="4"/>
      <c r="AC573" s="4"/>
      <c r="AD573" s="20"/>
    </row>
    <row r="574" spans="14:30" x14ac:dyDescent="0.25">
      <c r="N574" s="9"/>
      <c r="P574" s="33"/>
      <c r="Q574" s="4"/>
      <c r="R574" s="4"/>
      <c r="S574" s="4"/>
      <c r="T574" s="4"/>
      <c r="U574" s="4"/>
      <c r="V574" s="4"/>
      <c r="X574" s="4"/>
      <c r="Y574" s="4"/>
      <c r="AA574" s="4"/>
      <c r="AB574" s="4"/>
      <c r="AC574" s="4"/>
      <c r="AD574" s="20"/>
    </row>
    <row r="575" spans="14:30" x14ac:dyDescent="0.25">
      <c r="N575" s="9"/>
      <c r="P575" s="33"/>
      <c r="Q575" s="4"/>
      <c r="R575" s="4"/>
      <c r="S575" s="4"/>
      <c r="T575" s="4"/>
      <c r="U575" s="4"/>
      <c r="V575" s="4"/>
      <c r="X575" s="4"/>
      <c r="Y575" s="4"/>
      <c r="AA575" s="4"/>
      <c r="AB575" s="4"/>
      <c r="AC575" s="4"/>
      <c r="AD575" s="20"/>
    </row>
    <row r="576" spans="14:30" x14ac:dyDescent="0.25">
      <c r="N576" s="9"/>
      <c r="P576" s="33"/>
      <c r="Q576" s="4"/>
      <c r="R576" s="4"/>
      <c r="S576" s="4"/>
      <c r="T576" s="4"/>
      <c r="U576" s="4"/>
      <c r="V576" s="4"/>
      <c r="X576" s="4"/>
      <c r="Y576" s="4"/>
      <c r="AA576" s="4"/>
      <c r="AB576" s="4"/>
      <c r="AC576" s="4"/>
      <c r="AD576" s="20"/>
    </row>
    <row r="577" spans="14:30" x14ac:dyDescent="0.25">
      <c r="N577" s="9"/>
      <c r="P577" s="33"/>
      <c r="Q577" s="4"/>
      <c r="R577" s="4"/>
      <c r="S577" s="4"/>
      <c r="T577" s="4"/>
      <c r="U577" s="4"/>
      <c r="V577" s="4"/>
      <c r="X577" s="4"/>
      <c r="Y577" s="4"/>
      <c r="AA577" s="4"/>
      <c r="AB577" s="4"/>
      <c r="AC577" s="4"/>
      <c r="AD577" s="20"/>
    </row>
    <row r="578" spans="14:30" x14ac:dyDescent="0.25">
      <c r="N578" s="9"/>
      <c r="P578" s="33"/>
      <c r="Q578" s="4"/>
      <c r="R578" s="4"/>
      <c r="S578" s="4"/>
      <c r="T578" s="4"/>
      <c r="U578" s="4"/>
      <c r="V578" s="4"/>
      <c r="X578" s="4"/>
      <c r="Y578" s="4"/>
      <c r="AA578" s="4"/>
      <c r="AB578" s="4"/>
      <c r="AC578" s="4"/>
      <c r="AD578" s="20"/>
    </row>
    <row r="579" spans="14:30" x14ac:dyDescent="0.25">
      <c r="N579" s="9"/>
      <c r="P579" s="33"/>
      <c r="Q579" s="4"/>
      <c r="R579" s="4"/>
      <c r="S579" s="4"/>
      <c r="T579" s="4"/>
      <c r="U579" s="4"/>
      <c r="V579" s="4"/>
      <c r="X579" s="4"/>
      <c r="Y579" s="4"/>
      <c r="AA579" s="4"/>
      <c r="AB579" s="4"/>
      <c r="AC579" s="4"/>
      <c r="AD579" s="20"/>
    </row>
    <row r="580" spans="14:30" x14ac:dyDescent="0.25">
      <c r="N580" s="9"/>
      <c r="P580" s="33"/>
      <c r="Q580" s="4"/>
      <c r="R580" s="4"/>
      <c r="S580" s="4"/>
      <c r="T580" s="4"/>
      <c r="U580" s="4"/>
      <c r="V580" s="4"/>
      <c r="X580" s="4"/>
      <c r="Y580" s="4"/>
      <c r="AA580" s="4"/>
      <c r="AB580" s="4"/>
      <c r="AC580" s="4"/>
      <c r="AD580" s="20"/>
    </row>
    <row r="581" spans="14:30" x14ac:dyDescent="0.25">
      <c r="N581" s="9"/>
      <c r="P581" s="33"/>
      <c r="Q581" s="4"/>
      <c r="R581" s="4"/>
      <c r="S581" s="4"/>
      <c r="T581" s="4"/>
      <c r="U581" s="4"/>
      <c r="V581" s="4"/>
      <c r="X581" s="4"/>
      <c r="Y581" s="4"/>
      <c r="AA581" s="4"/>
      <c r="AB581" s="4"/>
      <c r="AC581" s="4"/>
      <c r="AD581" s="20"/>
    </row>
    <row r="582" spans="14:30" x14ac:dyDescent="0.25">
      <c r="N582" s="9"/>
      <c r="P582" s="33"/>
      <c r="Q582" s="4"/>
      <c r="R582" s="4"/>
      <c r="S582" s="4"/>
      <c r="T582" s="4"/>
      <c r="U582" s="4"/>
      <c r="V582" s="4"/>
      <c r="X582" s="4"/>
      <c r="Y582" s="4"/>
      <c r="AA582" s="4"/>
      <c r="AB582" s="4"/>
      <c r="AC582" s="4"/>
      <c r="AD582" s="20"/>
    </row>
    <row r="583" spans="14:30" x14ac:dyDescent="0.25">
      <c r="N583" s="9"/>
      <c r="P583" s="33"/>
      <c r="Q583" s="4"/>
      <c r="R583" s="4"/>
      <c r="S583" s="4"/>
      <c r="T583" s="4"/>
      <c r="U583" s="4"/>
      <c r="V583" s="4"/>
      <c r="X583" s="4"/>
      <c r="Y583" s="4"/>
      <c r="AA583" s="4"/>
      <c r="AB583" s="4"/>
      <c r="AC583" s="4"/>
      <c r="AD583" s="20"/>
    </row>
    <row r="584" spans="14:30" x14ac:dyDescent="0.25">
      <c r="N584" s="9"/>
      <c r="P584" s="33"/>
      <c r="Q584" s="4"/>
      <c r="R584" s="4"/>
      <c r="S584" s="4"/>
      <c r="T584" s="4"/>
      <c r="U584" s="4"/>
      <c r="V584" s="4"/>
      <c r="X584" s="4"/>
      <c r="Y584" s="4"/>
      <c r="AA584" s="4"/>
      <c r="AB584" s="4"/>
      <c r="AC584" s="4"/>
      <c r="AD584" s="20"/>
    </row>
    <row r="585" spans="14:30" x14ac:dyDescent="0.25">
      <c r="N585" s="9"/>
      <c r="P585" s="33"/>
      <c r="Q585" s="4"/>
      <c r="R585" s="4"/>
      <c r="S585" s="4"/>
      <c r="T585" s="4"/>
      <c r="U585" s="4"/>
      <c r="V585" s="4"/>
      <c r="X585" s="4"/>
      <c r="Y585" s="4"/>
      <c r="AA585" s="4"/>
      <c r="AB585" s="4"/>
      <c r="AC585" s="4"/>
      <c r="AD585" s="20"/>
    </row>
    <row r="586" spans="14:30" x14ac:dyDescent="0.25">
      <c r="N586" s="9"/>
      <c r="P586" s="33"/>
      <c r="Q586" s="4"/>
      <c r="R586" s="4"/>
      <c r="S586" s="4"/>
      <c r="T586" s="4"/>
      <c r="U586" s="4"/>
      <c r="V586" s="4"/>
      <c r="X586" s="4"/>
      <c r="Y586" s="4"/>
      <c r="AA586" s="4"/>
      <c r="AB586" s="4"/>
      <c r="AC586" s="4"/>
      <c r="AD586" s="20"/>
    </row>
    <row r="587" spans="14:30" x14ac:dyDescent="0.25">
      <c r="N587" s="9"/>
      <c r="P587" s="33"/>
      <c r="Q587" s="4"/>
      <c r="R587" s="4"/>
      <c r="S587" s="4"/>
      <c r="T587" s="4"/>
      <c r="U587" s="4"/>
      <c r="V587" s="4"/>
      <c r="X587" s="4"/>
      <c r="Y587" s="4"/>
      <c r="AA587" s="4"/>
      <c r="AB587" s="4"/>
      <c r="AC587" s="4"/>
      <c r="AD587" s="20"/>
    </row>
    <row r="588" spans="14:30" x14ac:dyDescent="0.25">
      <c r="N588" s="9"/>
      <c r="P588" s="33"/>
      <c r="Q588" s="4"/>
      <c r="R588" s="4"/>
      <c r="S588" s="4"/>
      <c r="T588" s="4"/>
      <c r="U588" s="4"/>
      <c r="V588" s="4"/>
      <c r="X588" s="4"/>
      <c r="Y588" s="4"/>
      <c r="AA588" s="4"/>
      <c r="AB588" s="4"/>
      <c r="AC588" s="4"/>
      <c r="AD588" s="20"/>
    </row>
    <row r="589" spans="14:30" x14ac:dyDescent="0.25">
      <c r="N589" s="9"/>
      <c r="P589" s="33"/>
      <c r="Q589" s="4"/>
      <c r="R589" s="4"/>
      <c r="S589" s="4"/>
      <c r="T589" s="4"/>
      <c r="U589" s="4"/>
      <c r="V589" s="4"/>
      <c r="X589" s="4"/>
      <c r="Y589" s="4"/>
      <c r="AA589" s="4"/>
      <c r="AB589" s="4"/>
      <c r="AC589" s="4"/>
      <c r="AD589" s="20"/>
    </row>
    <row r="590" spans="14:30" x14ac:dyDescent="0.25">
      <c r="N590" s="9"/>
      <c r="P590" s="33"/>
      <c r="Q590" s="4"/>
      <c r="R590" s="4"/>
      <c r="S590" s="4"/>
      <c r="T590" s="4"/>
      <c r="U590" s="4"/>
      <c r="V590" s="4"/>
      <c r="X590" s="4"/>
      <c r="Y590" s="4"/>
      <c r="AA590" s="4"/>
      <c r="AB590" s="4"/>
      <c r="AC590" s="4"/>
      <c r="AD590" s="20"/>
    </row>
    <row r="591" spans="14:30" x14ac:dyDescent="0.25">
      <c r="N591" s="9"/>
      <c r="P591" s="33"/>
      <c r="Q591" s="4"/>
      <c r="R591" s="4"/>
      <c r="S591" s="4"/>
      <c r="T591" s="4"/>
      <c r="U591" s="4"/>
      <c r="V591" s="4"/>
      <c r="X591" s="4"/>
      <c r="Y591" s="4"/>
      <c r="AA591" s="4"/>
      <c r="AB591" s="4"/>
      <c r="AC591" s="4"/>
      <c r="AD591" s="20"/>
    </row>
    <row r="592" spans="14:30" x14ac:dyDescent="0.25">
      <c r="N592" s="9"/>
      <c r="P592" s="33"/>
      <c r="Q592" s="4"/>
      <c r="R592" s="4"/>
      <c r="S592" s="4"/>
      <c r="T592" s="4"/>
      <c r="U592" s="4"/>
      <c r="V592" s="4"/>
      <c r="X592" s="4"/>
      <c r="Y592" s="4"/>
      <c r="AA592" s="4"/>
      <c r="AB592" s="4"/>
      <c r="AC592" s="4"/>
      <c r="AD592" s="20"/>
    </row>
    <row r="593" spans="14:30" x14ac:dyDescent="0.25">
      <c r="N593" s="9"/>
      <c r="P593" s="33"/>
      <c r="Q593" s="4"/>
      <c r="R593" s="4"/>
      <c r="S593" s="4"/>
      <c r="T593" s="4"/>
      <c r="U593" s="4"/>
      <c r="V593" s="4"/>
      <c r="X593" s="4"/>
      <c r="Y593" s="4"/>
      <c r="AA593" s="4"/>
      <c r="AB593" s="4"/>
      <c r="AC593" s="4"/>
      <c r="AD593" s="20"/>
    </row>
    <row r="594" spans="14:30" x14ac:dyDescent="0.25">
      <c r="N594" s="9"/>
      <c r="P594" s="33"/>
      <c r="Q594" s="4"/>
      <c r="R594" s="4"/>
      <c r="S594" s="4"/>
      <c r="T594" s="4"/>
      <c r="U594" s="4"/>
      <c r="V594" s="4"/>
      <c r="X594" s="4"/>
      <c r="Y594" s="4"/>
      <c r="AA594" s="4"/>
      <c r="AB594" s="4"/>
      <c r="AC594" s="4"/>
      <c r="AD594" s="20"/>
    </row>
    <row r="595" spans="14:30" x14ac:dyDescent="0.25">
      <c r="N595" s="9"/>
      <c r="P595" s="33"/>
      <c r="Q595" s="4"/>
      <c r="R595" s="4"/>
      <c r="S595" s="4"/>
      <c r="T595" s="4"/>
      <c r="U595" s="4"/>
      <c r="V595" s="4"/>
      <c r="X595" s="4"/>
      <c r="Y595" s="4"/>
      <c r="AA595" s="4"/>
      <c r="AB595" s="4"/>
      <c r="AC595" s="4"/>
      <c r="AD595" s="20"/>
    </row>
    <row r="596" spans="14:30" x14ac:dyDescent="0.25">
      <c r="N596" s="9"/>
      <c r="P596" s="33"/>
      <c r="Q596" s="4"/>
      <c r="R596" s="4"/>
      <c r="S596" s="4"/>
      <c r="T596" s="4"/>
      <c r="U596" s="4"/>
      <c r="V596" s="4"/>
      <c r="X596" s="4"/>
      <c r="Y596" s="4"/>
      <c r="AA596" s="4"/>
      <c r="AB596" s="4"/>
      <c r="AC596" s="4"/>
      <c r="AD596" s="20"/>
    </row>
    <row r="597" spans="14:30" x14ac:dyDescent="0.25">
      <c r="N597" s="9"/>
      <c r="P597" s="33"/>
      <c r="Q597" s="4"/>
      <c r="R597" s="4"/>
      <c r="S597" s="4"/>
      <c r="T597" s="4"/>
      <c r="U597" s="4"/>
      <c r="V597" s="4"/>
      <c r="X597" s="4"/>
      <c r="Y597" s="4"/>
      <c r="AA597" s="4"/>
      <c r="AB597" s="4"/>
      <c r="AC597" s="4"/>
      <c r="AD597" s="20"/>
    </row>
    <row r="598" spans="14:30" x14ac:dyDescent="0.25">
      <c r="N598" s="9"/>
      <c r="P598" s="33"/>
      <c r="Q598" s="4"/>
      <c r="R598" s="4"/>
      <c r="S598" s="4"/>
      <c r="T598" s="4"/>
      <c r="U598" s="4"/>
      <c r="V598" s="4"/>
      <c r="X598" s="4"/>
      <c r="Y598" s="4"/>
      <c r="AA598" s="4"/>
      <c r="AB598" s="4"/>
      <c r="AC598" s="4"/>
      <c r="AD598" s="20"/>
    </row>
    <row r="599" spans="14:30" x14ac:dyDescent="0.25">
      <c r="N599" s="9"/>
      <c r="P599" s="33"/>
      <c r="Q599" s="4"/>
      <c r="R599" s="4"/>
      <c r="S599" s="4"/>
      <c r="T599" s="4"/>
      <c r="U599" s="4"/>
      <c r="V599" s="4"/>
      <c r="X599" s="4"/>
      <c r="Y599" s="4"/>
      <c r="AA599" s="4"/>
      <c r="AB599" s="4"/>
      <c r="AC599" s="4"/>
      <c r="AD599" s="20"/>
    </row>
    <row r="600" spans="14:30" x14ac:dyDescent="0.25">
      <c r="N600" s="9"/>
      <c r="P600" s="33"/>
      <c r="Q600" s="4"/>
      <c r="R600" s="4"/>
      <c r="S600" s="4"/>
      <c r="T600" s="4"/>
      <c r="U600" s="4"/>
      <c r="V600" s="4"/>
      <c r="X600" s="4"/>
      <c r="Y600" s="4"/>
      <c r="AA600" s="4"/>
      <c r="AB600" s="4"/>
      <c r="AC600" s="4"/>
      <c r="AD600" s="20"/>
    </row>
    <row r="601" spans="14:30" x14ac:dyDescent="0.25">
      <c r="N601" s="9"/>
      <c r="P601" s="33"/>
      <c r="Q601" s="4"/>
      <c r="R601" s="4"/>
      <c r="S601" s="4"/>
      <c r="T601" s="4"/>
      <c r="U601" s="4"/>
      <c r="V601" s="4"/>
      <c r="X601" s="4"/>
      <c r="Y601" s="4"/>
      <c r="AA601" s="4"/>
      <c r="AB601" s="4"/>
      <c r="AC601" s="4"/>
      <c r="AD601" s="20"/>
    </row>
    <row r="602" spans="14:30" x14ac:dyDescent="0.25">
      <c r="N602" s="9"/>
      <c r="P602" s="33"/>
      <c r="Q602" s="4"/>
      <c r="R602" s="4"/>
      <c r="S602" s="4"/>
      <c r="T602" s="4"/>
      <c r="U602" s="4"/>
      <c r="V602" s="4"/>
      <c r="X602" s="4"/>
      <c r="Y602" s="4"/>
      <c r="AA602" s="4"/>
      <c r="AB602" s="4"/>
      <c r="AC602" s="4"/>
      <c r="AD602" s="20"/>
    </row>
    <row r="603" spans="14:30" x14ac:dyDescent="0.25">
      <c r="N603" s="9"/>
      <c r="P603" s="33"/>
      <c r="Q603" s="4"/>
      <c r="R603" s="4"/>
      <c r="S603" s="4"/>
      <c r="T603" s="4"/>
      <c r="U603" s="4"/>
      <c r="V603" s="4"/>
      <c r="X603" s="4"/>
      <c r="Y603" s="4"/>
      <c r="AA603" s="4"/>
      <c r="AB603" s="4"/>
      <c r="AC603" s="4"/>
      <c r="AD603" s="20"/>
    </row>
    <row r="604" spans="14:30" x14ac:dyDescent="0.25">
      <c r="N604" s="9"/>
      <c r="P604" s="33"/>
      <c r="Q604" s="4"/>
      <c r="R604" s="4"/>
      <c r="S604" s="4"/>
      <c r="T604" s="4"/>
      <c r="U604" s="4"/>
      <c r="V604" s="4"/>
      <c r="X604" s="4"/>
      <c r="Y604" s="4"/>
      <c r="AA604" s="4"/>
      <c r="AB604" s="4"/>
      <c r="AC604" s="4"/>
      <c r="AD604" s="20"/>
    </row>
    <row r="605" spans="14:30" x14ac:dyDescent="0.25">
      <c r="N605" s="9"/>
      <c r="P605" s="33"/>
      <c r="Q605" s="4"/>
      <c r="R605" s="4"/>
      <c r="S605" s="4"/>
      <c r="T605" s="4"/>
      <c r="U605" s="4"/>
      <c r="V605" s="4"/>
      <c r="X605" s="4"/>
      <c r="Y605" s="4"/>
      <c r="AA605" s="4"/>
      <c r="AB605" s="4"/>
      <c r="AC605" s="4"/>
      <c r="AD605" s="20"/>
    </row>
    <row r="606" spans="14:30" x14ac:dyDescent="0.25">
      <c r="N606" s="9"/>
      <c r="P606" s="33"/>
      <c r="Q606" s="4"/>
      <c r="R606" s="4"/>
      <c r="S606" s="4"/>
      <c r="T606" s="4"/>
      <c r="U606" s="4"/>
      <c r="V606" s="4"/>
      <c r="X606" s="4"/>
      <c r="Y606" s="4"/>
      <c r="AA606" s="4"/>
      <c r="AB606" s="4"/>
      <c r="AC606" s="4"/>
      <c r="AD606" s="20"/>
    </row>
    <row r="607" spans="14:30" x14ac:dyDescent="0.25">
      <c r="N607" s="9"/>
      <c r="P607" s="33"/>
      <c r="Q607" s="4"/>
      <c r="R607" s="4"/>
      <c r="S607" s="4"/>
      <c r="T607" s="4"/>
      <c r="U607" s="4"/>
      <c r="V607" s="4"/>
      <c r="X607" s="4"/>
      <c r="Y607" s="4"/>
      <c r="AA607" s="4"/>
      <c r="AB607" s="4"/>
      <c r="AC607" s="4"/>
      <c r="AD607" s="20"/>
    </row>
    <row r="608" spans="14:30" x14ac:dyDescent="0.25">
      <c r="N608" s="9"/>
      <c r="P608" s="33"/>
      <c r="Q608" s="4"/>
      <c r="R608" s="4"/>
      <c r="S608" s="4"/>
      <c r="T608" s="4"/>
      <c r="U608" s="4"/>
      <c r="V608" s="4"/>
      <c r="X608" s="4"/>
      <c r="Y608" s="4"/>
      <c r="AA608" s="4"/>
      <c r="AB608" s="4"/>
      <c r="AC608" s="4"/>
      <c r="AD608" s="20"/>
    </row>
    <row r="609" spans="14:30" x14ac:dyDescent="0.25">
      <c r="N609" s="9"/>
      <c r="P609" s="33"/>
      <c r="Q609" s="4"/>
      <c r="R609" s="4"/>
      <c r="S609" s="4"/>
      <c r="T609" s="4"/>
      <c r="U609" s="4"/>
      <c r="V609" s="4"/>
      <c r="X609" s="4"/>
      <c r="Y609" s="4"/>
      <c r="AA609" s="4"/>
      <c r="AB609" s="4"/>
      <c r="AC609" s="4"/>
      <c r="AD609" s="20"/>
    </row>
    <row r="610" spans="14:30" x14ac:dyDescent="0.25">
      <c r="N610" s="9"/>
      <c r="P610" s="33"/>
      <c r="Q610" s="4"/>
      <c r="R610" s="4"/>
      <c r="S610" s="4"/>
      <c r="T610" s="4"/>
      <c r="U610" s="4"/>
      <c r="V610" s="4"/>
      <c r="X610" s="4"/>
      <c r="Y610" s="4"/>
      <c r="AA610" s="4"/>
      <c r="AB610" s="4"/>
      <c r="AC610" s="4"/>
      <c r="AD610" s="20"/>
    </row>
    <row r="611" spans="14:30" x14ac:dyDescent="0.25">
      <c r="N611" s="9"/>
      <c r="P611" s="33"/>
      <c r="Q611" s="4"/>
      <c r="R611" s="4"/>
      <c r="S611" s="4"/>
      <c r="T611" s="4"/>
      <c r="U611" s="4"/>
      <c r="V611" s="4"/>
      <c r="X611" s="4"/>
      <c r="Y611" s="4"/>
      <c r="AA611" s="4"/>
      <c r="AB611" s="4"/>
      <c r="AC611" s="4"/>
      <c r="AD611" s="20"/>
    </row>
    <row r="612" spans="14:30" x14ac:dyDescent="0.25">
      <c r="N612" s="9"/>
      <c r="P612" s="33"/>
      <c r="Q612" s="4"/>
      <c r="R612" s="4"/>
      <c r="S612" s="4"/>
      <c r="T612" s="4"/>
      <c r="U612" s="4"/>
      <c r="V612" s="4"/>
      <c r="X612" s="4"/>
      <c r="Y612" s="4"/>
      <c r="AA612" s="4"/>
      <c r="AB612" s="4"/>
      <c r="AC612" s="4"/>
      <c r="AD612" s="20"/>
    </row>
    <row r="613" spans="14:30" x14ac:dyDescent="0.25">
      <c r="N613" s="9"/>
      <c r="P613" s="33"/>
      <c r="Q613" s="4"/>
      <c r="R613" s="4"/>
      <c r="S613" s="4"/>
      <c r="T613" s="4"/>
      <c r="U613" s="4"/>
      <c r="V613" s="4"/>
      <c r="X613" s="4"/>
      <c r="Y613" s="4"/>
      <c r="AA613" s="4"/>
      <c r="AB613" s="4"/>
      <c r="AC613" s="4"/>
      <c r="AD613" s="20"/>
    </row>
    <row r="614" spans="14:30" x14ac:dyDescent="0.25">
      <c r="N614" s="9"/>
      <c r="P614" s="33"/>
      <c r="Q614" s="4"/>
      <c r="R614" s="4"/>
      <c r="S614" s="4"/>
      <c r="T614" s="4"/>
      <c r="U614" s="4"/>
      <c r="V614" s="4"/>
      <c r="X614" s="4"/>
      <c r="Y614" s="4"/>
      <c r="AA614" s="4"/>
      <c r="AB614" s="4"/>
      <c r="AC614" s="4"/>
      <c r="AD614" s="20"/>
    </row>
    <row r="615" spans="14:30" x14ac:dyDescent="0.25">
      <c r="N615" s="9"/>
      <c r="P615" s="33"/>
      <c r="Q615" s="4"/>
      <c r="R615" s="4"/>
      <c r="S615" s="4"/>
      <c r="T615" s="4"/>
      <c r="U615" s="4"/>
      <c r="V615" s="4"/>
      <c r="X615" s="4"/>
      <c r="Y615" s="4"/>
      <c r="AA615" s="4"/>
      <c r="AB615" s="4"/>
      <c r="AC615" s="4"/>
      <c r="AD615" s="20"/>
    </row>
    <row r="616" spans="14:30" x14ac:dyDescent="0.25">
      <c r="N616" s="9"/>
      <c r="P616" s="33"/>
      <c r="Q616" s="4"/>
      <c r="R616" s="4"/>
      <c r="S616" s="4"/>
      <c r="T616" s="4"/>
      <c r="U616" s="4"/>
      <c r="V616" s="4"/>
      <c r="X616" s="4"/>
      <c r="Y616" s="4"/>
      <c r="AA616" s="4"/>
      <c r="AB616" s="4"/>
      <c r="AC616" s="4"/>
      <c r="AD616" s="20"/>
    </row>
    <row r="617" spans="14:30" x14ac:dyDescent="0.25">
      <c r="N617" s="9"/>
      <c r="P617" s="33"/>
      <c r="Q617" s="4"/>
      <c r="R617" s="4"/>
      <c r="S617" s="4"/>
      <c r="T617" s="4"/>
      <c r="U617" s="4"/>
      <c r="V617" s="4"/>
      <c r="X617" s="4"/>
      <c r="Y617" s="4"/>
      <c r="AA617" s="4"/>
      <c r="AB617" s="4"/>
      <c r="AC617" s="4"/>
      <c r="AD617" s="20"/>
    </row>
    <row r="618" spans="14:30" x14ac:dyDescent="0.25">
      <c r="N618" s="9"/>
      <c r="P618" s="33"/>
      <c r="Q618" s="4"/>
      <c r="R618" s="4"/>
      <c r="S618" s="4"/>
      <c r="T618" s="4"/>
      <c r="U618" s="4"/>
      <c r="V618" s="4"/>
      <c r="X618" s="4"/>
      <c r="Y618" s="4"/>
      <c r="AA618" s="4"/>
      <c r="AB618" s="4"/>
      <c r="AC618" s="4"/>
      <c r="AD618" s="20"/>
    </row>
    <row r="619" spans="14:30" x14ac:dyDescent="0.25">
      <c r="N619" s="9"/>
      <c r="P619" s="33"/>
      <c r="Q619" s="4"/>
      <c r="R619" s="4"/>
      <c r="S619" s="4"/>
      <c r="T619" s="4"/>
      <c r="U619" s="4"/>
      <c r="V619" s="4"/>
      <c r="X619" s="4"/>
      <c r="Y619" s="4"/>
      <c r="AA619" s="4"/>
      <c r="AB619" s="4"/>
      <c r="AC619" s="4"/>
      <c r="AD619" s="20"/>
    </row>
    <row r="620" spans="14:30" x14ac:dyDescent="0.25">
      <c r="N620" s="9"/>
      <c r="P620" s="33"/>
      <c r="Q620" s="4"/>
      <c r="R620" s="4"/>
      <c r="S620" s="4"/>
      <c r="T620" s="4"/>
      <c r="U620" s="4"/>
      <c r="V620" s="4"/>
      <c r="X620" s="4"/>
      <c r="Y620" s="4"/>
      <c r="AA620" s="4"/>
      <c r="AB620" s="4"/>
      <c r="AC620" s="4"/>
      <c r="AD620" s="20"/>
    </row>
    <row r="621" spans="14:30" x14ac:dyDescent="0.25">
      <c r="N621" s="9"/>
      <c r="P621" s="33"/>
      <c r="Q621" s="4"/>
      <c r="R621" s="4"/>
      <c r="S621" s="4"/>
      <c r="T621" s="4"/>
      <c r="U621" s="4"/>
      <c r="V621" s="4"/>
      <c r="X621" s="4"/>
      <c r="Y621" s="4"/>
      <c r="AA621" s="4"/>
      <c r="AB621" s="4"/>
      <c r="AC621" s="4"/>
      <c r="AD621" s="20"/>
    </row>
    <row r="622" spans="14:30" x14ac:dyDescent="0.25">
      <c r="N622" s="9"/>
      <c r="P622" s="33"/>
      <c r="Q622" s="4"/>
      <c r="R622" s="4"/>
      <c r="S622" s="4"/>
      <c r="T622" s="4"/>
      <c r="U622" s="4"/>
      <c r="V622" s="4"/>
      <c r="X622" s="4"/>
      <c r="Y622" s="4"/>
      <c r="AA622" s="4"/>
      <c r="AB622" s="4"/>
      <c r="AC622" s="4"/>
      <c r="AD622" s="20"/>
    </row>
    <row r="623" spans="14:30" x14ac:dyDescent="0.25">
      <c r="N623" s="9"/>
      <c r="P623" s="33"/>
      <c r="Q623" s="4"/>
      <c r="R623" s="4"/>
      <c r="S623" s="4"/>
      <c r="T623" s="4"/>
      <c r="U623" s="4"/>
      <c r="V623" s="4"/>
      <c r="X623" s="4"/>
      <c r="Y623" s="4"/>
      <c r="AA623" s="4"/>
      <c r="AB623" s="4"/>
      <c r="AC623" s="4"/>
      <c r="AD623" s="20"/>
    </row>
    <row r="624" spans="14:30" x14ac:dyDescent="0.25">
      <c r="N624" s="9"/>
      <c r="P624" s="33"/>
      <c r="Q624" s="4"/>
      <c r="R624" s="4"/>
      <c r="S624" s="4"/>
      <c r="T624" s="4"/>
      <c r="U624" s="4"/>
      <c r="V624" s="4"/>
      <c r="X624" s="4"/>
      <c r="Y624" s="4"/>
      <c r="AA624" s="4"/>
      <c r="AB624" s="4"/>
      <c r="AC624" s="4"/>
      <c r="AD624" s="20"/>
    </row>
    <row r="625" spans="14:30" x14ac:dyDescent="0.25">
      <c r="N625" s="9"/>
      <c r="P625" s="33"/>
      <c r="Q625" s="4"/>
      <c r="R625" s="4"/>
      <c r="S625" s="4"/>
      <c r="T625" s="4"/>
      <c r="U625" s="4"/>
      <c r="V625" s="4"/>
      <c r="X625" s="4"/>
      <c r="Y625" s="4"/>
      <c r="AA625" s="4"/>
      <c r="AB625" s="4"/>
      <c r="AC625" s="4"/>
      <c r="AD625" s="20"/>
    </row>
    <row r="626" spans="14:30" x14ac:dyDescent="0.25">
      <c r="N626" s="9"/>
      <c r="P626" s="33"/>
      <c r="Q626" s="4"/>
      <c r="R626" s="4"/>
      <c r="S626" s="4"/>
      <c r="T626" s="4"/>
      <c r="U626" s="4"/>
      <c r="V626" s="4"/>
      <c r="X626" s="4"/>
      <c r="Y626" s="4"/>
      <c r="AA626" s="4"/>
      <c r="AB626" s="4"/>
      <c r="AC626" s="4"/>
      <c r="AD626" s="20"/>
    </row>
    <row r="627" spans="14:30" x14ac:dyDescent="0.25">
      <c r="N627" s="9"/>
      <c r="P627" s="33"/>
      <c r="Q627" s="4"/>
      <c r="R627" s="4"/>
      <c r="S627" s="4"/>
      <c r="T627" s="4"/>
      <c r="U627" s="4"/>
      <c r="V627" s="4"/>
      <c r="X627" s="4"/>
      <c r="Y627" s="4"/>
      <c r="AA627" s="4"/>
      <c r="AB627" s="4"/>
      <c r="AC627" s="4"/>
      <c r="AD627" s="20"/>
    </row>
    <row r="628" spans="14:30" x14ac:dyDescent="0.25">
      <c r="N628" s="9"/>
      <c r="P628" s="33"/>
      <c r="Q628" s="4"/>
      <c r="R628" s="4"/>
      <c r="S628" s="4"/>
      <c r="T628" s="4"/>
      <c r="U628" s="4"/>
      <c r="V628" s="4"/>
      <c r="X628" s="4"/>
      <c r="Y628" s="4"/>
      <c r="AA628" s="4"/>
      <c r="AB628" s="4"/>
      <c r="AC628" s="4"/>
      <c r="AD628" s="20"/>
    </row>
    <row r="629" spans="14:30" x14ac:dyDescent="0.25">
      <c r="N629" s="9"/>
      <c r="P629" s="33"/>
      <c r="Q629" s="4"/>
      <c r="R629" s="4"/>
      <c r="S629" s="4"/>
      <c r="T629" s="4"/>
      <c r="U629" s="4"/>
      <c r="V629" s="4"/>
      <c r="X629" s="4"/>
      <c r="Y629" s="4"/>
      <c r="AA629" s="4"/>
      <c r="AB629" s="4"/>
      <c r="AC629" s="4"/>
      <c r="AD629" s="20"/>
    </row>
    <row r="630" spans="14:30" x14ac:dyDescent="0.25">
      <c r="N630" s="9"/>
      <c r="P630" s="33"/>
      <c r="Q630" s="4"/>
      <c r="R630" s="4"/>
      <c r="S630" s="4"/>
      <c r="T630" s="4"/>
      <c r="U630" s="4"/>
      <c r="V630" s="4"/>
      <c r="X630" s="4"/>
      <c r="Y630" s="4"/>
      <c r="AA630" s="4"/>
      <c r="AB630" s="4"/>
      <c r="AC630" s="4"/>
      <c r="AD630" s="20"/>
    </row>
    <row r="631" spans="14:30" x14ac:dyDescent="0.25">
      <c r="N631" s="9"/>
      <c r="P631" s="33"/>
      <c r="Q631" s="4"/>
      <c r="R631" s="4"/>
      <c r="S631" s="4"/>
      <c r="T631" s="4"/>
      <c r="U631" s="4"/>
      <c r="V631" s="4"/>
      <c r="X631" s="4"/>
      <c r="Y631" s="4"/>
      <c r="AA631" s="4"/>
      <c r="AB631" s="4"/>
      <c r="AC631" s="4"/>
      <c r="AD631" s="20"/>
    </row>
    <row r="632" spans="14:30" x14ac:dyDescent="0.25">
      <c r="N632" s="9"/>
      <c r="P632" s="33"/>
      <c r="Q632" s="4"/>
      <c r="R632" s="4"/>
      <c r="S632" s="4"/>
      <c r="T632" s="4"/>
      <c r="U632" s="4"/>
      <c r="V632" s="4"/>
      <c r="X632" s="4"/>
      <c r="Y632" s="4"/>
      <c r="AA632" s="4"/>
      <c r="AB632" s="4"/>
      <c r="AC632" s="4"/>
      <c r="AD632" s="20"/>
    </row>
    <row r="633" spans="14:30" x14ac:dyDescent="0.25">
      <c r="N633" s="9"/>
      <c r="P633" s="33"/>
      <c r="Q633" s="4"/>
      <c r="R633" s="4"/>
      <c r="S633" s="4"/>
      <c r="T633" s="4"/>
      <c r="U633" s="4"/>
      <c r="V633" s="4"/>
      <c r="X633" s="4"/>
      <c r="Y633" s="4"/>
      <c r="AA633" s="4"/>
      <c r="AB633" s="4"/>
      <c r="AC633" s="4"/>
      <c r="AD633" s="20"/>
    </row>
    <row r="634" spans="14:30" x14ac:dyDescent="0.25">
      <c r="N634" s="9"/>
      <c r="P634" s="33"/>
      <c r="Q634" s="4"/>
      <c r="R634" s="4"/>
      <c r="S634" s="4"/>
      <c r="T634" s="4"/>
      <c r="U634" s="4"/>
      <c r="V634" s="4"/>
      <c r="X634" s="4"/>
      <c r="Y634" s="4"/>
      <c r="AA634" s="4"/>
      <c r="AB634" s="4"/>
      <c r="AC634" s="4"/>
      <c r="AD634" s="20"/>
    </row>
    <row r="635" spans="14:30" x14ac:dyDescent="0.25">
      <c r="N635" s="9"/>
      <c r="P635" s="33"/>
      <c r="Q635" s="4"/>
      <c r="R635" s="4"/>
      <c r="S635" s="4"/>
      <c r="T635" s="4"/>
      <c r="U635" s="4"/>
      <c r="V635" s="4"/>
      <c r="X635" s="4"/>
      <c r="Y635" s="4"/>
      <c r="AA635" s="4"/>
      <c r="AB635" s="4"/>
      <c r="AC635" s="4"/>
      <c r="AD635" s="20"/>
    </row>
    <row r="636" spans="14:30" x14ac:dyDescent="0.25">
      <c r="N636" s="9"/>
      <c r="P636" s="33"/>
      <c r="Q636" s="4"/>
      <c r="R636" s="4"/>
      <c r="S636" s="4"/>
      <c r="T636" s="4"/>
      <c r="U636" s="4"/>
      <c r="V636" s="4"/>
      <c r="X636" s="4"/>
      <c r="Y636" s="4"/>
      <c r="AA636" s="4"/>
      <c r="AB636" s="4"/>
      <c r="AC636" s="4"/>
      <c r="AD636" s="20"/>
    </row>
    <row r="637" spans="14:30" x14ac:dyDescent="0.25">
      <c r="N637" s="9"/>
      <c r="P637" s="33"/>
      <c r="Q637" s="4"/>
      <c r="R637" s="4"/>
      <c r="S637" s="4"/>
      <c r="T637" s="4"/>
      <c r="U637" s="4"/>
      <c r="V637" s="4"/>
      <c r="X637" s="4"/>
      <c r="Y637" s="4"/>
      <c r="AA637" s="4"/>
      <c r="AB637" s="4"/>
      <c r="AC637" s="4"/>
      <c r="AD637" s="20"/>
    </row>
    <row r="638" spans="14:30" x14ac:dyDescent="0.25">
      <c r="N638" s="9"/>
      <c r="P638" s="33"/>
      <c r="Q638" s="4"/>
      <c r="R638" s="4"/>
      <c r="S638" s="4"/>
      <c r="T638" s="4"/>
      <c r="U638" s="4"/>
      <c r="V638" s="4"/>
      <c r="X638" s="4"/>
      <c r="Y638" s="4"/>
      <c r="AA638" s="4"/>
      <c r="AB638" s="4"/>
      <c r="AC638" s="4"/>
      <c r="AD638" s="20"/>
    </row>
    <row r="639" spans="14:30" x14ac:dyDescent="0.25">
      <c r="N639" s="9"/>
      <c r="P639" s="33"/>
      <c r="Q639" s="4"/>
      <c r="R639" s="4"/>
      <c r="S639" s="4"/>
      <c r="T639" s="4"/>
      <c r="U639" s="4"/>
      <c r="V639" s="4"/>
      <c r="X639" s="4"/>
      <c r="Y639" s="4"/>
      <c r="AA639" s="4"/>
      <c r="AB639" s="4"/>
      <c r="AC639" s="4"/>
      <c r="AD639" s="20"/>
    </row>
    <row r="640" spans="14:30" x14ac:dyDescent="0.25">
      <c r="N640" s="9"/>
      <c r="P640" s="33"/>
      <c r="Q640" s="4"/>
      <c r="R640" s="4"/>
      <c r="S640" s="4"/>
      <c r="T640" s="4"/>
      <c r="U640" s="4"/>
      <c r="V640" s="4"/>
      <c r="X640" s="4"/>
      <c r="Y640" s="4"/>
      <c r="AA640" s="4"/>
      <c r="AB640" s="4"/>
      <c r="AC640" s="4"/>
      <c r="AD640" s="20"/>
    </row>
    <row r="641" spans="14:30" x14ac:dyDescent="0.25">
      <c r="N641" s="9"/>
      <c r="P641" s="33"/>
      <c r="Q641" s="4"/>
      <c r="R641" s="4"/>
      <c r="S641" s="4"/>
      <c r="T641" s="4"/>
      <c r="U641" s="4"/>
      <c r="V641" s="4"/>
      <c r="X641" s="4"/>
      <c r="Y641" s="4"/>
      <c r="AA641" s="4"/>
      <c r="AB641" s="4"/>
      <c r="AC641" s="4"/>
      <c r="AD641" s="20"/>
    </row>
    <row r="642" spans="14:30" x14ac:dyDescent="0.25">
      <c r="N642" s="9"/>
      <c r="P642" s="33"/>
      <c r="Q642" s="4"/>
      <c r="R642" s="4"/>
      <c r="S642" s="4"/>
      <c r="T642" s="4"/>
      <c r="U642" s="4"/>
      <c r="V642" s="4"/>
      <c r="X642" s="4"/>
      <c r="Y642" s="4"/>
      <c r="AA642" s="4"/>
      <c r="AB642" s="4"/>
      <c r="AC642" s="4"/>
      <c r="AD642" s="20"/>
    </row>
    <row r="643" spans="14:30" x14ac:dyDescent="0.25">
      <c r="N643" s="9"/>
      <c r="P643" s="33"/>
      <c r="Q643" s="4"/>
      <c r="R643" s="4"/>
      <c r="S643" s="4"/>
      <c r="T643" s="4"/>
      <c r="U643" s="4"/>
      <c r="V643" s="4"/>
      <c r="X643" s="4"/>
      <c r="Y643" s="4"/>
      <c r="AA643" s="4"/>
      <c r="AB643" s="4"/>
      <c r="AC643" s="4"/>
      <c r="AD643" s="20"/>
    </row>
    <row r="644" spans="14:30" x14ac:dyDescent="0.25">
      <c r="N644" s="9"/>
      <c r="P644" s="33"/>
      <c r="Q644" s="4"/>
      <c r="R644" s="4"/>
      <c r="S644" s="4"/>
      <c r="T644" s="4"/>
      <c r="U644" s="4"/>
      <c r="V644" s="4"/>
      <c r="X644" s="4"/>
      <c r="Y644" s="4"/>
      <c r="AA644" s="4"/>
      <c r="AB644" s="4"/>
      <c r="AC644" s="4"/>
      <c r="AD644" s="20"/>
    </row>
    <row r="645" spans="14:30" x14ac:dyDescent="0.25">
      <c r="N645" s="9"/>
      <c r="P645" s="33"/>
      <c r="Q645" s="4"/>
      <c r="R645" s="4"/>
      <c r="S645" s="4"/>
      <c r="T645" s="4"/>
      <c r="U645" s="4"/>
      <c r="V645" s="4"/>
      <c r="X645" s="4"/>
      <c r="Y645" s="4"/>
      <c r="AA645" s="4"/>
      <c r="AB645" s="4"/>
      <c r="AC645" s="4"/>
      <c r="AD645" s="20"/>
    </row>
    <row r="646" spans="14:30" x14ac:dyDescent="0.25">
      <c r="N646" s="9"/>
      <c r="P646" s="33"/>
      <c r="Q646" s="4"/>
      <c r="R646" s="4"/>
      <c r="S646" s="4"/>
      <c r="T646" s="4"/>
      <c r="U646" s="4"/>
      <c r="V646" s="4"/>
      <c r="X646" s="4"/>
      <c r="Y646" s="4"/>
      <c r="AA646" s="4"/>
      <c r="AB646" s="4"/>
      <c r="AC646" s="4"/>
      <c r="AD646" s="20"/>
    </row>
    <row r="647" spans="14:30" x14ac:dyDescent="0.25">
      <c r="N647" s="9"/>
      <c r="P647" s="33"/>
      <c r="Q647" s="4"/>
      <c r="R647" s="4"/>
      <c r="S647" s="4"/>
      <c r="T647" s="4"/>
      <c r="U647" s="4"/>
      <c r="V647" s="4"/>
      <c r="X647" s="4"/>
      <c r="Y647" s="4"/>
      <c r="AA647" s="4"/>
      <c r="AB647" s="4"/>
      <c r="AC647" s="4"/>
      <c r="AD647" s="20"/>
    </row>
    <row r="648" spans="14:30" x14ac:dyDescent="0.25">
      <c r="N648" s="9"/>
      <c r="P648" s="33"/>
      <c r="Q648" s="4"/>
      <c r="R648" s="4"/>
      <c r="S648" s="4"/>
      <c r="T648" s="4"/>
      <c r="U648" s="4"/>
      <c r="V648" s="4"/>
      <c r="X648" s="4"/>
      <c r="Y648" s="4"/>
      <c r="AA648" s="4"/>
      <c r="AB648" s="4"/>
      <c r="AC648" s="4"/>
      <c r="AD648" s="20"/>
    </row>
    <row r="649" spans="14:30" x14ac:dyDescent="0.25">
      <c r="N649" s="9"/>
      <c r="P649" s="33"/>
      <c r="Q649" s="4"/>
      <c r="R649" s="4"/>
      <c r="S649" s="4"/>
      <c r="T649" s="4"/>
      <c r="U649" s="4"/>
      <c r="V649" s="4"/>
      <c r="X649" s="4"/>
      <c r="Y649" s="4"/>
      <c r="AA649" s="4"/>
      <c r="AB649" s="4"/>
      <c r="AC649" s="4"/>
      <c r="AD649" s="20"/>
    </row>
    <row r="650" spans="14:30" x14ac:dyDescent="0.25">
      <c r="N650" s="9"/>
      <c r="P650" s="33"/>
      <c r="Q650" s="4"/>
      <c r="R650" s="4"/>
      <c r="S650" s="4"/>
      <c r="T650" s="4"/>
      <c r="U650" s="4"/>
      <c r="V650" s="4"/>
      <c r="X650" s="4"/>
      <c r="Y650" s="4"/>
      <c r="AA650" s="4"/>
      <c r="AB650" s="4"/>
      <c r="AC650" s="4"/>
      <c r="AD650" s="20"/>
    </row>
    <row r="651" spans="14:30" x14ac:dyDescent="0.25">
      <c r="N651" s="9"/>
      <c r="P651" s="33"/>
      <c r="Q651" s="4"/>
      <c r="R651" s="4"/>
      <c r="S651" s="4"/>
      <c r="T651" s="4"/>
      <c r="U651" s="4"/>
      <c r="V651" s="4"/>
      <c r="X651" s="4"/>
      <c r="Y651" s="4"/>
      <c r="AA651" s="4"/>
      <c r="AB651" s="4"/>
      <c r="AC651" s="4"/>
      <c r="AD651" s="20"/>
    </row>
    <row r="652" spans="14:30" x14ac:dyDescent="0.25">
      <c r="N652" s="9"/>
      <c r="P652" s="33"/>
      <c r="Q652" s="4"/>
      <c r="R652" s="4"/>
      <c r="S652" s="4"/>
      <c r="T652" s="4"/>
      <c r="U652" s="4"/>
      <c r="V652" s="4"/>
      <c r="X652" s="4"/>
      <c r="Y652" s="4"/>
      <c r="AA652" s="4"/>
      <c r="AB652" s="4"/>
      <c r="AC652" s="4"/>
      <c r="AD652" s="20"/>
    </row>
    <row r="653" spans="14:30" x14ac:dyDescent="0.25">
      <c r="N653" s="9"/>
      <c r="P653" s="33"/>
      <c r="Q653" s="4"/>
      <c r="R653" s="4"/>
      <c r="S653" s="4"/>
      <c r="T653" s="4"/>
      <c r="U653" s="4"/>
      <c r="V653" s="4"/>
      <c r="X653" s="4"/>
      <c r="Y653" s="4"/>
      <c r="AA653" s="4"/>
      <c r="AB653" s="4"/>
      <c r="AC653" s="4"/>
      <c r="AD653" s="20"/>
    </row>
    <row r="654" spans="14:30" x14ac:dyDescent="0.25">
      <c r="N654" s="9"/>
      <c r="P654" s="33"/>
      <c r="Q654" s="4"/>
      <c r="R654" s="4"/>
      <c r="S654" s="4"/>
      <c r="T654" s="4"/>
      <c r="U654" s="4"/>
      <c r="V654" s="4"/>
      <c r="X654" s="4"/>
      <c r="Y654" s="4"/>
      <c r="AA654" s="4"/>
      <c r="AB654" s="4"/>
      <c r="AC654" s="4"/>
      <c r="AD654" s="20"/>
    </row>
    <row r="655" spans="14:30" x14ac:dyDescent="0.25">
      <c r="N655" s="9"/>
      <c r="P655" s="33"/>
      <c r="Q655" s="4"/>
      <c r="R655" s="4"/>
      <c r="S655" s="4"/>
      <c r="T655" s="4"/>
      <c r="U655" s="4"/>
      <c r="V655" s="4"/>
      <c r="X655" s="4"/>
      <c r="Y655" s="4"/>
      <c r="AA655" s="4"/>
      <c r="AB655" s="4"/>
      <c r="AC655" s="4"/>
      <c r="AD655" s="20"/>
    </row>
    <row r="656" spans="14:30" x14ac:dyDescent="0.25">
      <c r="N656" s="9"/>
      <c r="P656" s="33"/>
      <c r="Q656" s="4"/>
      <c r="R656" s="4"/>
      <c r="S656" s="4"/>
      <c r="T656" s="4"/>
      <c r="U656" s="4"/>
      <c r="V656" s="4"/>
      <c r="X656" s="4"/>
      <c r="Y656" s="4"/>
      <c r="AA656" s="4"/>
      <c r="AB656" s="4"/>
      <c r="AC656" s="4"/>
      <c r="AD656" s="20"/>
    </row>
    <row r="657" spans="14:30" x14ac:dyDescent="0.25">
      <c r="N657" s="9"/>
      <c r="P657" s="33"/>
      <c r="Q657" s="4"/>
      <c r="R657" s="4"/>
      <c r="S657" s="4"/>
      <c r="T657" s="4"/>
      <c r="U657" s="4"/>
      <c r="V657" s="4"/>
      <c r="X657" s="4"/>
      <c r="Y657" s="4"/>
      <c r="AA657" s="4"/>
      <c r="AB657" s="4"/>
      <c r="AC657" s="4"/>
      <c r="AD657" s="20"/>
    </row>
    <row r="658" spans="14:30" x14ac:dyDescent="0.25">
      <c r="N658" s="9"/>
      <c r="P658" s="33"/>
      <c r="Q658" s="4"/>
      <c r="R658" s="4"/>
      <c r="S658" s="4"/>
      <c r="T658" s="4"/>
      <c r="U658" s="4"/>
      <c r="V658" s="4"/>
      <c r="X658" s="4"/>
      <c r="Y658" s="4"/>
      <c r="AA658" s="4"/>
      <c r="AB658" s="4"/>
      <c r="AC658" s="4"/>
      <c r="AD658" s="20"/>
    </row>
    <row r="659" spans="14:30" x14ac:dyDescent="0.25">
      <c r="N659" s="9"/>
      <c r="P659" s="33"/>
      <c r="Q659" s="4"/>
      <c r="R659" s="4"/>
      <c r="S659" s="4"/>
      <c r="T659" s="4"/>
      <c r="U659" s="4"/>
      <c r="V659" s="4"/>
      <c r="X659" s="4"/>
      <c r="Y659" s="4"/>
      <c r="AA659" s="4"/>
      <c r="AB659" s="4"/>
      <c r="AC659" s="4"/>
      <c r="AD659" s="20"/>
    </row>
    <row r="660" spans="14:30" x14ac:dyDescent="0.25">
      <c r="N660" s="9"/>
      <c r="P660" s="33"/>
      <c r="Q660" s="4"/>
      <c r="R660" s="4"/>
      <c r="S660" s="4"/>
      <c r="T660" s="4"/>
      <c r="U660" s="4"/>
      <c r="V660" s="4"/>
      <c r="X660" s="4"/>
      <c r="Y660" s="4"/>
      <c r="AA660" s="4"/>
      <c r="AB660" s="4"/>
      <c r="AC660" s="4"/>
      <c r="AD660" s="20"/>
    </row>
    <row r="661" spans="14:30" x14ac:dyDescent="0.25">
      <c r="N661" s="9"/>
      <c r="P661" s="33"/>
      <c r="Q661" s="4"/>
      <c r="R661" s="4"/>
      <c r="S661" s="4"/>
      <c r="T661" s="4"/>
      <c r="U661" s="4"/>
      <c r="V661" s="4"/>
      <c r="X661" s="4"/>
      <c r="Y661" s="4"/>
      <c r="AA661" s="4"/>
      <c r="AB661" s="4"/>
      <c r="AC661" s="4"/>
      <c r="AD661" s="20"/>
    </row>
    <row r="662" spans="14:30" x14ac:dyDescent="0.25">
      <c r="N662" s="9"/>
      <c r="P662" s="33"/>
      <c r="Q662" s="4"/>
      <c r="R662" s="4"/>
      <c r="S662" s="4"/>
      <c r="T662" s="4"/>
      <c r="U662" s="4"/>
      <c r="V662" s="4"/>
      <c r="X662" s="4"/>
      <c r="Y662" s="4"/>
      <c r="AA662" s="4"/>
      <c r="AB662" s="4"/>
      <c r="AC662" s="4"/>
      <c r="AD662" s="20"/>
    </row>
    <row r="663" spans="14:30" x14ac:dyDescent="0.25">
      <c r="N663" s="9"/>
      <c r="P663" s="33"/>
      <c r="Q663" s="4"/>
      <c r="R663" s="4"/>
      <c r="S663" s="4"/>
      <c r="T663" s="4"/>
      <c r="U663" s="4"/>
      <c r="V663" s="4"/>
      <c r="X663" s="4"/>
      <c r="Y663" s="4"/>
      <c r="AA663" s="4"/>
      <c r="AB663" s="4"/>
      <c r="AC663" s="4"/>
      <c r="AD663" s="20"/>
    </row>
    <row r="664" spans="14:30" x14ac:dyDescent="0.25">
      <c r="N664" s="9"/>
      <c r="P664" s="33"/>
      <c r="Q664" s="4"/>
      <c r="R664" s="4"/>
      <c r="S664" s="4"/>
      <c r="T664" s="4"/>
      <c r="U664" s="4"/>
      <c r="V664" s="4"/>
      <c r="X664" s="4"/>
      <c r="Y664" s="4"/>
      <c r="AA664" s="4"/>
      <c r="AB664" s="4"/>
      <c r="AC664" s="4"/>
      <c r="AD664" s="20"/>
    </row>
    <row r="665" spans="14:30" x14ac:dyDescent="0.25">
      <c r="N665" s="9"/>
      <c r="P665" s="33"/>
      <c r="Q665" s="4"/>
      <c r="R665" s="4"/>
      <c r="S665" s="4"/>
      <c r="T665" s="4"/>
      <c r="U665" s="4"/>
      <c r="V665" s="4"/>
      <c r="X665" s="4"/>
      <c r="Y665" s="4"/>
      <c r="AA665" s="4"/>
      <c r="AB665" s="4"/>
      <c r="AC665" s="4"/>
      <c r="AD665" s="20"/>
    </row>
    <row r="666" spans="14:30" x14ac:dyDescent="0.25">
      <c r="N666" s="9"/>
      <c r="P666" s="33"/>
      <c r="Q666" s="4"/>
      <c r="R666" s="4"/>
      <c r="S666" s="4"/>
      <c r="T666" s="4"/>
      <c r="U666" s="4"/>
      <c r="V666" s="4"/>
      <c r="X666" s="4"/>
      <c r="Y666" s="4"/>
      <c r="AA666" s="4"/>
      <c r="AB666" s="4"/>
      <c r="AC666" s="4"/>
      <c r="AD666" s="20"/>
    </row>
    <row r="667" spans="14:30" x14ac:dyDescent="0.25">
      <c r="N667" s="9"/>
      <c r="P667" s="33"/>
      <c r="Q667" s="4"/>
      <c r="R667" s="4"/>
      <c r="S667" s="4"/>
      <c r="T667" s="4"/>
      <c r="U667" s="4"/>
      <c r="V667" s="4"/>
      <c r="X667" s="4"/>
      <c r="Y667" s="4"/>
      <c r="AA667" s="4"/>
      <c r="AB667" s="4"/>
      <c r="AC667" s="4"/>
      <c r="AD667" s="20"/>
    </row>
    <row r="668" spans="14:30" x14ac:dyDescent="0.25">
      <c r="N668" s="9"/>
      <c r="P668" s="33"/>
      <c r="Q668" s="4"/>
      <c r="R668" s="4"/>
      <c r="S668" s="4"/>
      <c r="T668" s="4"/>
      <c r="U668" s="4"/>
      <c r="V668" s="4"/>
      <c r="X668" s="4"/>
      <c r="Y668" s="4"/>
      <c r="AA668" s="4"/>
      <c r="AB668" s="4"/>
      <c r="AC668" s="4"/>
      <c r="AD668" s="20"/>
    </row>
    <row r="669" spans="14:30" x14ac:dyDescent="0.25">
      <c r="N669" s="9"/>
      <c r="P669" s="33"/>
      <c r="Q669" s="4"/>
      <c r="R669" s="4"/>
      <c r="S669" s="4"/>
      <c r="T669" s="4"/>
      <c r="U669" s="4"/>
      <c r="V669" s="4"/>
      <c r="X669" s="4"/>
      <c r="Y669" s="4"/>
      <c r="AA669" s="4"/>
      <c r="AB669" s="4"/>
      <c r="AC669" s="4"/>
      <c r="AD669" s="20"/>
    </row>
    <row r="670" spans="14:30" x14ac:dyDescent="0.25">
      <c r="N670" s="9"/>
      <c r="P670" s="33"/>
      <c r="Q670" s="4"/>
      <c r="R670" s="4"/>
      <c r="S670" s="4"/>
      <c r="T670" s="4"/>
      <c r="U670" s="4"/>
      <c r="V670" s="4"/>
      <c r="X670" s="4"/>
      <c r="Y670" s="4"/>
      <c r="AA670" s="4"/>
      <c r="AB670" s="4"/>
      <c r="AC670" s="4"/>
      <c r="AD670" s="20"/>
    </row>
    <row r="671" spans="14:30" x14ac:dyDescent="0.25">
      <c r="N671" s="9"/>
      <c r="P671" s="33"/>
      <c r="Q671" s="4"/>
      <c r="R671" s="4"/>
      <c r="S671" s="4"/>
      <c r="T671" s="4"/>
      <c r="U671" s="4"/>
      <c r="V671" s="4"/>
      <c r="X671" s="4"/>
      <c r="Y671" s="4"/>
      <c r="AA671" s="4"/>
      <c r="AB671" s="4"/>
      <c r="AC671" s="4"/>
      <c r="AD671" s="20"/>
    </row>
    <row r="672" spans="14:30" x14ac:dyDescent="0.25">
      <c r="N672" s="9"/>
      <c r="P672" s="33"/>
      <c r="Q672" s="4"/>
      <c r="R672" s="4"/>
      <c r="S672" s="4"/>
      <c r="T672" s="4"/>
      <c r="U672" s="4"/>
      <c r="V672" s="4"/>
      <c r="X672" s="4"/>
      <c r="Y672" s="4"/>
      <c r="AA672" s="4"/>
      <c r="AB672" s="4"/>
      <c r="AC672" s="4"/>
      <c r="AD672" s="20"/>
    </row>
    <row r="673" spans="14:30" x14ac:dyDescent="0.25">
      <c r="N673" s="9"/>
      <c r="P673" s="33"/>
      <c r="Q673" s="4"/>
      <c r="R673" s="4"/>
      <c r="S673" s="4"/>
      <c r="T673" s="4"/>
      <c r="U673" s="4"/>
      <c r="V673" s="4"/>
      <c r="X673" s="4"/>
      <c r="Y673" s="4"/>
      <c r="AA673" s="4"/>
      <c r="AB673" s="4"/>
      <c r="AC673" s="4"/>
      <c r="AD673" s="20"/>
    </row>
    <row r="674" spans="14:30" x14ac:dyDescent="0.25">
      <c r="N674" s="9"/>
      <c r="P674" s="33"/>
      <c r="Q674" s="4"/>
      <c r="R674" s="4"/>
      <c r="S674" s="4"/>
      <c r="T674" s="4"/>
      <c r="U674" s="4"/>
      <c r="V674" s="4"/>
      <c r="X674" s="4"/>
      <c r="Y674" s="4"/>
      <c r="AA674" s="4"/>
      <c r="AB674" s="4"/>
      <c r="AC674" s="4"/>
      <c r="AD674" s="20"/>
    </row>
    <row r="675" spans="14:30" x14ac:dyDescent="0.25">
      <c r="N675" s="9"/>
      <c r="P675" s="33"/>
      <c r="Q675" s="4"/>
      <c r="R675" s="4"/>
      <c r="S675" s="4"/>
      <c r="T675" s="4"/>
      <c r="U675" s="4"/>
      <c r="V675" s="4"/>
      <c r="X675" s="4"/>
      <c r="Y675" s="4"/>
      <c r="AA675" s="4"/>
      <c r="AB675" s="4"/>
      <c r="AC675" s="4"/>
      <c r="AD675" s="20"/>
    </row>
    <row r="676" spans="14:30" x14ac:dyDescent="0.25">
      <c r="N676" s="9"/>
      <c r="P676" s="33"/>
      <c r="Q676" s="4"/>
      <c r="R676" s="4"/>
      <c r="S676" s="4"/>
      <c r="T676" s="4"/>
      <c r="U676" s="4"/>
      <c r="V676" s="4"/>
      <c r="X676" s="4"/>
      <c r="Y676" s="4"/>
      <c r="AA676" s="4"/>
      <c r="AB676" s="4"/>
      <c r="AC676" s="4"/>
      <c r="AD676" s="20"/>
    </row>
    <row r="677" spans="14:30" x14ac:dyDescent="0.25">
      <c r="N677" s="9"/>
      <c r="P677" s="33"/>
      <c r="Q677" s="4"/>
      <c r="R677" s="4"/>
      <c r="S677" s="4"/>
      <c r="T677" s="4"/>
      <c r="U677" s="4"/>
      <c r="V677" s="4"/>
      <c r="X677" s="4"/>
      <c r="Y677" s="4"/>
      <c r="AA677" s="4"/>
      <c r="AB677" s="4"/>
      <c r="AC677" s="4"/>
      <c r="AD677" s="20"/>
    </row>
    <row r="678" spans="14:30" x14ac:dyDescent="0.25">
      <c r="N678" s="9"/>
      <c r="P678" s="33"/>
      <c r="Q678" s="4"/>
      <c r="R678" s="4"/>
      <c r="S678" s="4"/>
      <c r="T678" s="4"/>
      <c r="U678" s="4"/>
      <c r="V678" s="4"/>
      <c r="X678" s="4"/>
      <c r="Y678" s="4"/>
      <c r="AA678" s="4"/>
      <c r="AB678" s="4"/>
      <c r="AC678" s="4"/>
      <c r="AD678" s="20"/>
    </row>
    <row r="679" spans="14:30" x14ac:dyDescent="0.25">
      <c r="N679" s="9"/>
      <c r="P679" s="33"/>
      <c r="Q679" s="4"/>
      <c r="R679" s="4"/>
      <c r="S679" s="4"/>
      <c r="T679" s="4"/>
      <c r="U679" s="4"/>
      <c r="V679" s="4"/>
      <c r="X679" s="4"/>
      <c r="Y679" s="4"/>
      <c r="AA679" s="4"/>
      <c r="AB679" s="4"/>
      <c r="AC679" s="4"/>
      <c r="AD679" s="20"/>
    </row>
    <row r="680" spans="14:30" x14ac:dyDescent="0.25">
      <c r="N680" s="9"/>
      <c r="P680" s="33"/>
      <c r="Q680" s="4"/>
      <c r="R680" s="4"/>
      <c r="S680" s="4"/>
      <c r="T680" s="4"/>
      <c r="U680" s="4"/>
      <c r="V680" s="4"/>
      <c r="X680" s="4"/>
      <c r="Y680" s="4"/>
      <c r="AA680" s="4"/>
      <c r="AB680" s="4"/>
      <c r="AC680" s="4"/>
      <c r="AD680" s="20"/>
    </row>
    <row r="681" spans="14:30" x14ac:dyDescent="0.25">
      <c r="N681" s="9"/>
      <c r="P681" s="33"/>
      <c r="Q681" s="4"/>
      <c r="R681" s="4"/>
      <c r="S681" s="4"/>
      <c r="T681" s="4"/>
      <c r="U681" s="4"/>
      <c r="V681" s="4"/>
      <c r="X681" s="4"/>
      <c r="Y681" s="4"/>
      <c r="AA681" s="4"/>
      <c r="AB681" s="4"/>
      <c r="AC681" s="4"/>
      <c r="AD681" s="20"/>
    </row>
    <row r="682" spans="14:30" x14ac:dyDescent="0.25">
      <c r="N682" s="9"/>
      <c r="P682" s="33"/>
      <c r="Q682" s="4"/>
      <c r="R682" s="4"/>
      <c r="S682" s="4"/>
      <c r="T682" s="4"/>
      <c r="U682" s="4"/>
      <c r="V682" s="4"/>
      <c r="X682" s="4"/>
      <c r="Y682" s="4"/>
      <c r="AA682" s="4"/>
      <c r="AB682" s="4"/>
      <c r="AC682" s="4"/>
      <c r="AD682" s="20"/>
    </row>
    <row r="683" spans="14:30" x14ac:dyDescent="0.25">
      <c r="N683" s="9"/>
      <c r="P683" s="33"/>
      <c r="Q683" s="4"/>
      <c r="R683" s="4"/>
      <c r="S683" s="4"/>
      <c r="T683" s="4"/>
      <c r="U683" s="4"/>
      <c r="V683" s="4"/>
      <c r="X683" s="4"/>
      <c r="Y683" s="4"/>
      <c r="AA683" s="4"/>
      <c r="AB683" s="4"/>
      <c r="AC683" s="4"/>
      <c r="AD683" s="20"/>
    </row>
    <row r="684" spans="14:30" x14ac:dyDescent="0.25">
      <c r="N684" s="9"/>
      <c r="P684" s="33"/>
      <c r="Q684" s="4"/>
      <c r="R684" s="4"/>
      <c r="S684" s="4"/>
      <c r="T684" s="4"/>
      <c r="U684" s="4"/>
      <c r="V684" s="4"/>
      <c r="X684" s="4"/>
      <c r="Y684" s="4"/>
      <c r="AA684" s="4"/>
      <c r="AB684" s="4"/>
      <c r="AC684" s="4"/>
      <c r="AD684" s="20"/>
    </row>
    <row r="685" spans="14:30" x14ac:dyDescent="0.25">
      <c r="N685" s="9"/>
      <c r="P685" s="33"/>
      <c r="Q685" s="4"/>
      <c r="R685" s="4"/>
      <c r="S685" s="4"/>
      <c r="T685" s="4"/>
      <c r="U685" s="4"/>
      <c r="V685" s="4"/>
      <c r="X685" s="4"/>
      <c r="Y685" s="4"/>
      <c r="AA685" s="4"/>
      <c r="AB685" s="4"/>
      <c r="AC685" s="4"/>
      <c r="AD685" s="20"/>
    </row>
    <row r="686" spans="14:30" x14ac:dyDescent="0.25">
      <c r="N686" s="9"/>
      <c r="P686" s="33"/>
      <c r="Q686" s="4"/>
      <c r="R686" s="4"/>
      <c r="S686" s="4"/>
      <c r="T686" s="4"/>
      <c r="U686" s="4"/>
      <c r="V686" s="4"/>
      <c r="X686" s="4"/>
      <c r="Y686" s="4"/>
      <c r="AA686" s="4"/>
      <c r="AB686" s="4"/>
      <c r="AC686" s="4"/>
      <c r="AD686" s="20"/>
    </row>
    <row r="687" spans="14:30" x14ac:dyDescent="0.25">
      <c r="N687" s="9"/>
      <c r="P687" s="33"/>
      <c r="Q687" s="4"/>
      <c r="R687" s="4"/>
      <c r="S687" s="4"/>
      <c r="T687" s="4"/>
      <c r="U687" s="4"/>
      <c r="V687" s="4"/>
      <c r="X687" s="4"/>
      <c r="Y687" s="4"/>
      <c r="AA687" s="4"/>
      <c r="AB687" s="4"/>
      <c r="AC687" s="4"/>
      <c r="AD687" s="20"/>
    </row>
    <row r="688" spans="14:30" x14ac:dyDescent="0.25">
      <c r="N688" s="9"/>
      <c r="P688" s="33"/>
      <c r="Q688" s="4"/>
      <c r="R688" s="4"/>
      <c r="S688" s="4"/>
      <c r="T688" s="4"/>
      <c r="U688" s="4"/>
      <c r="V688" s="4"/>
      <c r="X688" s="4"/>
      <c r="Y688" s="4"/>
      <c r="AA688" s="4"/>
      <c r="AB688" s="4"/>
      <c r="AC688" s="4"/>
      <c r="AD688" s="20"/>
    </row>
    <row r="689" spans="14:30" x14ac:dyDescent="0.25">
      <c r="N689" s="9"/>
      <c r="P689" s="33"/>
      <c r="Q689" s="4"/>
      <c r="R689" s="4"/>
      <c r="S689" s="4"/>
      <c r="T689" s="4"/>
      <c r="U689" s="4"/>
      <c r="V689" s="4"/>
      <c r="X689" s="4"/>
      <c r="Y689" s="4"/>
      <c r="AA689" s="4"/>
      <c r="AB689" s="4"/>
      <c r="AC689" s="4"/>
      <c r="AD689" s="20"/>
    </row>
    <row r="690" spans="14:30" x14ac:dyDescent="0.25">
      <c r="N690" s="9"/>
      <c r="P690" s="33"/>
      <c r="Q690" s="4"/>
      <c r="R690" s="4"/>
      <c r="S690" s="4"/>
      <c r="T690" s="4"/>
      <c r="U690" s="4"/>
      <c r="V690" s="4"/>
      <c r="X690" s="4"/>
      <c r="Y690" s="4"/>
      <c r="AA690" s="4"/>
      <c r="AB690" s="4"/>
      <c r="AC690" s="4"/>
      <c r="AD690" s="20"/>
    </row>
    <row r="691" spans="14:30" x14ac:dyDescent="0.25">
      <c r="N691" s="9"/>
      <c r="P691" s="33"/>
      <c r="Q691" s="4"/>
      <c r="R691" s="4"/>
      <c r="S691" s="4"/>
      <c r="T691" s="4"/>
      <c r="U691" s="4"/>
      <c r="V691" s="4"/>
      <c r="X691" s="4"/>
      <c r="Y691" s="4"/>
      <c r="AA691" s="4"/>
      <c r="AB691" s="4"/>
      <c r="AC691" s="4"/>
      <c r="AD691" s="20"/>
    </row>
    <row r="692" spans="14:30" x14ac:dyDescent="0.25">
      <c r="N692" s="9"/>
      <c r="P692" s="33"/>
      <c r="Q692" s="4"/>
      <c r="R692" s="4"/>
      <c r="S692" s="4"/>
      <c r="T692" s="4"/>
      <c r="U692" s="4"/>
      <c r="V692" s="4"/>
      <c r="X692" s="4"/>
      <c r="Y692" s="4"/>
      <c r="AA692" s="4"/>
      <c r="AB692" s="4"/>
      <c r="AC692" s="4"/>
      <c r="AD692" s="20"/>
    </row>
    <row r="693" spans="14:30" x14ac:dyDescent="0.25">
      <c r="N693" s="9"/>
      <c r="P693" s="33"/>
      <c r="Q693" s="4"/>
      <c r="R693" s="4"/>
      <c r="S693" s="4"/>
      <c r="T693" s="4"/>
      <c r="U693" s="4"/>
      <c r="V693" s="4"/>
      <c r="X693" s="4"/>
      <c r="Y693" s="4"/>
      <c r="AA693" s="4"/>
      <c r="AB693" s="4"/>
      <c r="AC693" s="4"/>
      <c r="AD693" s="20"/>
    </row>
    <row r="694" spans="14:30" x14ac:dyDescent="0.25">
      <c r="N694" s="9"/>
      <c r="P694" s="33"/>
      <c r="Q694" s="4"/>
      <c r="R694" s="4"/>
      <c r="S694" s="4"/>
      <c r="T694" s="4"/>
      <c r="U694" s="4"/>
      <c r="V694" s="4"/>
      <c r="X694" s="4"/>
      <c r="Y694" s="4"/>
      <c r="AA694" s="4"/>
      <c r="AB694" s="4"/>
      <c r="AC694" s="4"/>
      <c r="AD694" s="20"/>
    </row>
    <row r="695" spans="14:30" x14ac:dyDescent="0.25">
      <c r="N695" s="9"/>
      <c r="P695" s="33"/>
      <c r="Q695" s="4"/>
      <c r="R695" s="4"/>
      <c r="S695" s="4"/>
      <c r="T695" s="4"/>
      <c r="U695" s="4"/>
      <c r="V695" s="4"/>
      <c r="X695" s="4"/>
      <c r="Y695" s="4"/>
      <c r="AA695" s="4"/>
      <c r="AB695" s="4"/>
      <c r="AC695" s="4"/>
      <c r="AD695" s="20"/>
    </row>
    <row r="696" spans="14:30" x14ac:dyDescent="0.25">
      <c r="N696" s="9"/>
      <c r="P696" s="33"/>
      <c r="Q696" s="4"/>
      <c r="R696" s="4"/>
      <c r="S696" s="4"/>
      <c r="T696" s="4"/>
      <c r="U696" s="4"/>
      <c r="V696" s="4"/>
      <c r="X696" s="4"/>
      <c r="Y696" s="4"/>
      <c r="AA696" s="4"/>
      <c r="AB696" s="4"/>
      <c r="AC696" s="4"/>
      <c r="AD696" s="20"/>
    </row>
    <row r="697" spans="14:30" x14ac:dyDescent="0.25">
      <c r="N697" s="9"/>
      <c r="P697" s="33"/>
      <c r="Q697" s="4"/>
      <c r="R697" s="4"/>
      <c r="S697" s="4"/>
      <c r="T697" s="4"/>
      <c r="U697" s="4"/>
      <c r="V697" s="4"/>
      <c r="X697" s="4"/>
      <c r="Y697" s="4"/>
      <c r="AA697" s="4"/>
      <c r="AB697" s="4"/>
      <c r="AC697" s="4"/>
      <c r="AD697" s="20"/>
    </row>
    <row r="698" spans="14:30" x14ac:dyDescent="0.25">
      <c r="N698" s="9"/>
      <c r="P698" s="33"/>
      <c r="Q698" s="4"/>
      <c r="R698" s="4"/>
      <c r="S698" s="4"/>
      <c r="T698" s="4"/>
      <c r="U698" s="4"/>
      <c r="V698" s="4"/>
      <c r="X698" s="4"/>
      <c r="Y698" s="4"/>
      <c r="AA698" s="4"/>
      <c r="AB698" s="4"/>
      <c r="AC698" s="4"/>
      <c r="AD698" s="20"/>
    </row>
    <row r="699" spans="14:30" x14ac:dyDescent="0.25">
      <c r="N699" s="9"/>
      <c r="P699" s="33"/>
      <c r="Q699" s="4"/>
      <c r="R699" s="4"/>
      <c r="S699" s="4"/>
      <c r="T699" s="4"/>
      <c r="U699" s="4"/>
      <c r="V699" s="4"/>
      <c r="X699" s="4"/>
      <c r="Y699" s="4"/>
      <c r="AA699" s="4"/>
      <c r="AB699" s="4"/>
      <c r="AC699" s="4"/>
      <c r="AD699" s="20"/>
    </row>
    <row r="700" spans="14:30" x14ac:dyDescent="0.25">
      <c r="N700" s="9"/>
      <c r="P700" s="33"/>
      <c r="Q700" s="4"/>
      <c r="R700" s="4"/>
      <c r="S700" s="4"/>
      <c r="T700" s="4"/>
      <c r="U700" s="4"/>
      <c r="V700" s="4"/>
      <c r="X700" s="4"/>
      <c r="Y700" s="4"/>
      <c r="AA700" s="4"/>
      <c r="AB700" s="4"/>
      <c r="AC700" s="4"/>
      <c r="AD700" s="20"/>
    </row>
    <row r="701" spans="14:30" x14ac:dyDescent="0.25">
      <c r="N701" s="9"/>
      <c r="P701" s="33"/>
      <c r="Q701" s="4"/>
      <c r="R701" s="4"/>
      <c r="S701" s="4"/>
      <c r="T701" s="4"/>
      <c r="U701" s="4"/>
      <c r="V701" s="4"/>
      <c r="X701" s="4"/>
      <c r="Y701" s="4"/>
      <c r="AA701" s="4"/>
      <c r="AB701" s="4"/>
      <c r="AC701" s="4"/>
      <c r="AD701" s="20"/>
    </row>
    <row r="702" spans="14:30" x14ac:dyDescent="0.25">
      <c r="N702" s="9"/>
      <c r="P702" s="33"/>
      <c r="Q702" s="4"/>
      <c r="R702" s="4"/>
      <c r="S702" s="4"/>
      <c r="T702" s="4"/>
      <c r="U702" s="4"/>
      <c r="V702" s="4"/>
      <c r="X702" s="4"/>
      <c r="Y702" s="4"/>
      <c r="AA702" s="4"/>
      <c r="AB702" s="4"/>
      <c r="AC702" s="4"/>
      <c r="AD702" s="20"/>
    </row>
    <row r="703" spans="14:30" x14ac:dyDescent="0.25">
      <c r="N703" s="9"/>
      <c r="P703" s="33"/>
      <c r="Q703" s="4"/>
      <c r="R703" s="4"/>
      <c r="S703" s="4"/>
      <c r="T703" s="4"/>
      <c r="U703" s="4"/>
      <c r="V703" s="4"/>
      <c r="X703" s="4"/>
      <c r="Y703" s="4"/>
      <c r="AA703" s="4"/>
      <c r="AB703" s="4"/>
      <c r="AC703" s="4"/>
      <c r="AD703" s="20"/>
    </row>
    <row r="704" spans="14:30" x14ac:dyDescent="0.25">
      <c r="N704" s="9"/>
      <c r="P704" s="33"/>
      <c r="Q704" s="4"/>
      <c r="R704" s="4"/>
      <c r="S704" s="4"/>
      <c r="T704" s="4"/>
      <c r="U704" s="4"/>
      <c r="V704" s="4"/>
      <c r="X704" s="4"/>
      <c r="Y704" s="4"/>
      <c r="AA704" s="4"/>
      <c r="AB704" s="4"/>
      <c r="AC704" s="4"/>
      <c r="AD704" s="20"/>
    </row>
    <row r="705" spans="14:30" x14ac:dyDescent="0.25">
      <c r="N705" s="9"/>
      <c r="P705" s="33"/>
      <c r="Q705" s="4"/>
      <c r="R705" s="4"/>
      <c r="S705" s="4"/>
      <c r="T705" s="4"/>
      <c r="U705" s="4"/>
      <c r="V705" s="4"/>
      <c r="X705" s="4"/>
      <c r="Y705" s="4"/>
      <c r="AA705" s="4"/>
      <c r="AB705" s="4"/>
      <c r="AC705" s="4"/>
      <c r="AD705" s="20"/>
    </row>
    <row r="706" spans="14:30" x14ac:dyDescent="0.25">
      <c r="N706" s="9"/>
      <c r="P706" s="33"/>
      <c r="Q706" s="4"/>
      <c r="R706" s="4"/>
      <c r="S706" s="4"/>
      <c r="T706" s="4"/>
      <c r="U706" s="4"/>
      <c r="V706" s="4"/>
      <c r="X706" s="4"/>
      <c r="Y706" s="4"/>
      <c r="AA706" s="4"/>
      <c r="AB706" s="4"/>
      <c r="AC706" s="4"/>
      <c r="AD706" s="20"/>
    </row>
    <row r="707" spans="14:30" x14ac:dyDescent="0.25">
      <c r="N707" s="9"/>
      <c r="P707" s="33"/>
      <c r="Q707" s="4"/>
      <c r="R707" s="4"/>
      <c r="S707" s="4"/>
      <c r="T707" s="4"/>
      <c r="U707" s="4"/>
      <c r="V707" s="4"/>
      <c r="X707" s="4"/>
      <c r="Y707" s="4"/>
      <c r="AA707" s="4"/>
      <c r="AB707" s="4"/>
      <c r="AC707" s="4"/>
      <c r="AD707" s="20"/>
    </row>
    <row r="708" spans="14:30" x14ac:dyDescent="0.25">
      <c r="N708" s="9"/>
      <c r="P708" s="33"/>
      <c r="Q708" s="4"/>
      <c r="R708" s="4"/>
      <c r="S708" s="4"/>
      <c r="T708" s="4"/>
      <c r="U708" s="4"/>
      <c r="V708" s="4"/>
      <c r="X708" s="4"/>
      <c r="Y708" s="4"/>
      <c r="AA708" s="4"/>
      <c r="AB708" s="4"/>
      <c r="AC708" s="4"/>
      <c r="AD708" s="20"/>
    </row>
  </sheetData>
  <mergeCells count="46">
    <mergeCell ref="AZ17:BB17"/>
    <mergeCell ref="AS16:BE16"/>
    <mergeCell ref="AF16:AR16"/>
    <mergeCell ref="AG17:AI17"/>
    <mergeCell ref="AJ17:AL17"/>
    <mergeCell ref="AM17:AO17"/>
    <mergeCell ref="AP17:AR17"/>
    <mergeCell ref="E6:K6"/>
    <mergeCell ref="Q17:S17"/>
    <mergeCell ref="T17:V17"/>
    <mergeCell ref="W17:Y17"/>
    <mergeCell ref="P16:AE16"/>
    <mergeCell ref="Z17:AB17"/>
    <mergeCell ref="AC17:AE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AF4:AR4"/>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62"/>
  <sheetViews>
    <sheetView zoomScale="85" zoomScaleNormal="85" workbookViewId="0">
      <selection activeCell="I24" sqref="I24"/>
    </sheetView>
  </sheetViews>
  <sheetFormatPr baseColWidth="10" defaultColWidth="9.140625" defaultRowHeight="15" x14ac:dyDescent="0.25"/>
  <cols>
    <col min="1" max="1" width="26.85546875" customWidth="1"/>
    <col min="2" max="2" width="25.5703125" customWidth="1"/>
    <col min="3" max="3" width="10.140625" customWidth="1"/>
  </cols>
  <sheetData>
    <row r="1" spans="1:9" ht="27.75" x14ac:dyDescent="0.4">
      <c r="A1" s="213" t="s">
        <v>75</v>
      </c>
      <c r="B1" s="213"/>
      <c r="C1" s="213"/>
      <c r="D1" s="213"/>
      <c r="E1" s="213"/>
      <c r="F1" s="213"/>
      <c r="G1" s="213"/>
      <c r="H1" s="213"/>
      <c r="I1" s="213"/>
    </row>
    <row r="2" spans="1:9" x14ac:dyDescent="0.25">
      <c r="A2" s="5"/>
      <c r="B2" s="5" t="s">
        <v>16</v>
      </c>
      <c r="C2" s="6"/>
      <c r="D2" s="4"/>
      <c r="E2" s="5"/>
      <c r="F2" s="5"/>
      <c r="G2" s="5"/>
      <c r="H2" s="5"/>
      <c r="I2" s="5"/>
    </row>
    <row r="3" spans="1:9" x14ac:dyDescent="0.25">
      <c r="A3" s="5"/>
      <c r="B3" s="5" t="s">
        <v>17</v>
      </c>
      <c r="C3" s="7"/>
      <c r="D3" s="4"/>
      <c r="E3" s="5"/>
      <c r="F3" s="5"/>
      <c r="G3" s="5"/>
      <c r="H3" s="5"/>
      <c r="I3" s="5"/>
    </row>
    <row r="4" spans="1:9" x14ac:dyDescent="0.25">
      <c r="A4" s="5"/>
      <c r="B4" s="5" t="s">
        <v>18</v>
      </c>
      <c r="C4" s="8"/>
      <c r="D4" s="4"/>
      <c r="E4" s="5"/>
      <c r="F4" s="5"/>
      <c r="G4" s="5"/>
      <c r="H4" s="5"/>
      <c r="I4" s="5"/>
    </row>
    <row r="5" spans="1:9" x14ac:dyDescent="0.25">
      <c r="A5" s="9" t="s">
        <v>19</v>
      </c>
      <c r="B5" s="9" t="s">
        <v>20</v>
      </c>
      <c r="C5" s="9" t="s">
        <v>21</v>
      </c>
      <c r="D5" s="4"/>
      <c r="E5" s="214" t="s">
        <v>22</v>
      </c>
      <c r="F5" s="214"/>
      <c r="G5" s="214"/>
      <c r="H5" s="214"/>
      <c r="I5" s="9"/>
    </row>
    <row r="6" spans="1:9" x14ac:dyDescent="0.25">
      <c r="A6" s="9"/>
      <c r="B6" s="9"/>
      <c r="C6" s="9"/>
      <c r="D6" s="4"/>
      <c r="E6" s="5"/>
      <c r="F6" s="5"/>
      <c r="G6" s="5"/>
      <c r="H6" s="5"/>
      <c r="I6" s="9"/>
    </row>
    <row r="7" spans="1:9" x14ac:dyDescent="0.25">
      <c r="A7" s="9" t="s">
        <v>55</v>
      </c>
      <c r="B7" s="9"/>
      <c r="C7" s="9"/>
      <c r="D7" s="4"/>
      <c r="E7" s="5"/>
      <c r="F7" s="5"/>
      <c r="G7" s="5"/>
      <c r="H7" s="5"/>
      <c r="I7" s="9"/>
    </row>
    <row r="8" spans="1:9" x14ac:dyDescent="0.25">
      <c r="A8" s="9"/>
      <c r="B8" s="9"/>
      <c r="C8" s="9"/>
      <c r="D8" s="4"/>
      <c r="E8" s="5"/>
      <c r="F8" s="5"/>
      <c r="G8" s="5"/>
      <c r="H8" s="5"/>
      <c r="I8" s="9"/>
    </row>
    <row r="9" spans="1:9" x14ac:dyDescent="0.25">
      <c r="A9" t="s">
        <v>44</v>
      </c>
      <c r="B9" s="12">
        <v>0.8</v>
      </c>
      <c r="D9" t="s">
        <v>47</v>
      </c>
    </row>
    <row r="10" spans="1:9" x14ac:dyDescent="0.25">
      <c r="A10" t="s">
        <v>48</v>
      </c>
      <c r="B10" s="13">
        <f>(1-B9)/(2.2*10^6)</f>
        <v>9.0909090909090888E-8</v>
      </c>
      <c r="C10" t="s">
        <v>51</v>
      </c>
      <c r="D10" t="s">
        <v>54</v>
      </c>
    </row>
    <row r="11" spans="1:9" x14ac:dyDescent="0.25">
      <c r="A11" t="s">
        <v>45</v>
      </c>
      <c r="B11" s="12">
        <v>0.85</v>
      </c>
      <c r="D11" t="s">
        <v>47</v>
      </c>
    </row>
    <row r="12" spans="1:9" x14ac:dyDescent="0.25">
      <c r="A12" t="s">
        <v>49</v>
      </c>
      <c r="B12" s="13">
        <f>(1-B11)/(2.2*10^6)</f>
        <v>6.8181818181818186E-8</v>
      </c>
      <c r="C12" t="s">
        <v>51</v>
      </c>
      <c r="D12" t="s">
        <v>53</v>
      </c>
    </row>
    <row r="13" spans="1:9" x14ac:dyDescent="0.25">
      <c r="A13" t="s">
        <v>46</v>
      </c>
      <c r="B13" s="12">
        <v>0.9</v>
      </c>
      <c r="D13" t="s">
        <v>47</v>
      </c>
    </row>
    <row r="14" spans="1:9" x14ac:dyDescent="0.25">
      <c r="A14" t="s">
        <v>50</v>
      </c>
      <c r="B14" s="13">
        <f>(1-B13)/(2.2*10^6)</f>
        <v>4.5454545454545444E-8</v>
      </c>
      <c r="C14" t="s">
        <v>51</v>
      </c>
      <c r="D14" t="s">
        <v>52</v>
      </c>
    </row>
    <row r="16" spans="1:9" x14ac:dyDescent="0.25">
      <c r="A16" t="s">
        <v>56</v>
      </c>
      <c r="B16" s="12">
        <v>0.9</v>
      </c>
      <c r="D16" t="s">
        <v>62</v>
      </c>
    </row>
    <row r="17" spans="1:8" x14ac:dyDescent="0.25">
      <c r="A17" t="s">
        <v>57</v>
      </c>
      <c r="B17" s="12">
        <v>0.93</v>
      </c>
      <c r="D17" t="s">
        <v>59</v>
      </c>
    </row>
    <row r="18" spans="1:8" x14ac:dyDescent="0.25">
      <c r="A18" t="s">
        <v>58</v>
      </c>
      <c r="B18" s="12">
        <v>0.96</v>
      </c>
      <c r="D18" t="s">
        <v>63</v>
      </c>
    </row>
    <row r="19" spans="1:8" x14ac:dyDescent="0.25">
      <c r="B19">
        <f>IF(((1-D_limit_min)/Constants!B12)&lt;Fsw,2,1)</f>
        <v>1</v>
      </c>
      <c r="D19" t="s">
        <v>438</v>
      </c>
    </row>
    <row r="20" spans="1:8" x14ac:dyDescent="0.25">
      <c r="A20" t="s">
        <v>73</v>
      </c>
      <c r="B20" s="1">
        <f>CHOOSE(B19,D_limit_min,(1-Constants!B10*Fsw))</f>
        <v>0.9</v>
      </c>
      <c r="D20" t="s">
        <v>74</v>
      </c>
    </row>
    <row r="22" spans="1:8" x14ac:dyDescent="0.25">
      <c r="A22" t="s">
        <v>80</v>
      </c>
      <c r="B22" s="12">
        <f>50*10^-9</f>
        <v>5.0000000000000004E-8</v>
      </c>
      <c r="C22" t="s">
        <v>51</v>
      </c>
      <c r="D22" t="s">
        <v>81</v>
      </c>
    </row>
    <row r="24" spans="1:8" x14ac:dyDescent="0.25">
      <c r="A24" t="s">
        <v>590</v>
      </c>
      <c r="B24" s="12">
        <f>20*10^-9</f>
        <v>2E-8</v>
      </c>
      <c r="C24" t="s">
        <v>51</v>
      </c>
      <c r="D24" t="s">
        <v>589</v>
      </c>
    </row>
    <row r="25" spans="1:8" ht="15.75" x14ac:dyDescent="0.25">
      <c r="A25" s="27" t="s">
        <v>141</v>
      </c>
    </row>
    <row r="26" spans="1:8" x14ac:dyDescent="0.25">
      <c r="A26" t="s">
        <v>127</v>
      </c>
      <c r="B26" s="12">
        <f>30*10^-6</f>
        <v>2.9999999999999997E-5</v>
      </c>
      <c r="C26" t="s">
        <v>11</v>
      </c>
      <c r="D26" t="s">
        <v>128</v>
      </c>
    </row>
    <row r="27" spans="1:8" x14ac:dyDescent="0.25">
      <c r="A27" t="s">
        <v>129</v>
      </c>
      <c r="B27" s="12">
        <v>3000</v>
      </c>
      <c r="C27" s="2" t="s">
        <v>36</v>
      </c>
      <c r="D27" t="s">
        <v>130</v>
      </c>
      <c r="H27" s="31"/>
    </row>
    <row r="28" spans="1:8" x14ac:dyDescent="0.25">
      <c r="A28" t="s">
        <v>491</v>
      </c>
      <c r="B28" s="12">
        <v>4.4999999999999998E-2</v>
      </c>
      <c r="C28" s="2"/>
    </row>
    <row r="29" spans="1:8" x14ac:dyDescent="0.25">
      <c r="C29" s="2"/>
    </row>
    <row r="30" spans="1:8" x14ac:dyDescent="0.25">
      <c r="A30" t="s">
        <v>132</v>
      </c>
      <c r="B30" s="12">
        <v>0.06</v>
      </c>
      <c r="C30" s="2" t="s">
        <v>10</v>
      </c>
      <c r="D30" t="s">
        <v>133</v>
      </c>
    </row>
    <row r="32" spans="1:8" x14ac:dyDescent="0.25">
      <c r="A32" t="s">
        <v>201</v>
      </c>
      <c r="B32" s="12">
        <v>1</v>
      </c>
      <c r="C32" t="s">
        <v>150</v>
      </c>
      <c r="D32" t="s">
        <v>203</v>
      </c>
    </row>
    <row r="33" spans="1:4" x14ac:dyDescent="0.25">
      <c r="A33" t="s">
        <v>205</v>
      </c>
      <c r="B33" s="12">
        <v>10</v>
      </c>
      <c r="C33" t="s">
        <v>150</v>
      </c>
      <c r="D33" t="s">
        <v>206</v>
      </c>
    </row>
    <row r="35" spans="1:4" x14ac:dyDescent="0.25">
      <c r="A35" s="31" t="s">
        <v>225</v>
      </c>
    </row>
    <row r="36" spans="1:4" x14ac:dyDescent="0.25">
      <c r="A36" t="s">
        <v>244</v>
      </c>
      <c r="B36">
        <v>1</v>
      </c>
      <c r="C36" t="s">
        <v>10</v>
      </c>
      <c r="D36" t="s">
        <v>245</v>
      </c>
    </row>
    <row r="37" spans="1:4" x14ac:dyDescent="0.25">
      <c r="A37" t="s">
        <v>228</v>
      </c>
      <c r="B37">
        <f>(1*10^-3)/1</f>
        <v>1E-3</v>
      </c>
      <c r="C37" t="s">
        <v>230</v>
      </c>
      <c r="D37" t="s">
        <v>229</v>
      </c>
    </row>
    <row r="38" spans="1:4" x14ac:dyDescent="0.25">
      <c r="A38" t="s">
        <v>552</v>
      </c>
      <c r="B38">
        <v>20</v>
      </c>
      <c r="C38" t="s">
        <v>150</v>
      </c>
    </row>
    <row r="39" spans="1:4" x14ac:dyDescent="0.25">
      <c r="A39" t="s">
        <v>553</v>
      </c>
      <c r="B39">
        <v>60</v>
      </c>
      <c r="C39" t="s">
        <v>150</v>
      </c>
    </row>
    <row r="40" spans="1:4" x14ac:dyDescent="0.25">
      <c r="A40" t="s">
        <v>554</v>
      </c>
      <c r="B40">
        <v>100000</v>
      </c>
      <c r="C40" t="s">
        <v>469</v>
      </c>
    </row>
    <row r="41" spans="1:4" x14ac:dyDescent="0.25">
      <c r="A41" t="s">
        <v>555</v>
      </c>
      <c r="B41">
        <v>35000</v>
      </c>
      <c r="C41" t="s">
        <v>469</v>
      </c>
    </row>
    <row r="42" spans="1:4" x14ac:dyDescent="0.25">
      <c r="A42" t="s">
        <v>556</v>
      </c>
      <c r="B42">
        <v>75000</v>
      </c>
      <c r="C42" t="s">
        <v>469</v>
      </c>
    </row>
    <row r="43" spans="1:4" x14ac:dyDescent="0.25">
      <c r="A43" t="s">
        <v>557</v>
      </c>
      <c r="B43">
        <v>20000</v>
      </c>
      <c r="C43" t="s">
        <v>469</v>
      </c>
    </row>
    <row r="46" spans="1:4" x14ac:dyDescent="0.25">
      <c r="A46" s="31" t="s">
        <v>277</v>
      </c>
    </row>
    <row r="47" spans="1:4" x14ac:dyDescent="0.25">
      <c r="A47" t="s">
        <v>278</v>
      </c>
      <c r="B47">
        <f>20*10^-6</f>
        <v>1.9999999999999998E-5</v>
      </c>
      <c r="C47" t="s">
        <v>11</v>
      </c>
      <c r="D47" t="s">
        <v>279</v>
      </c>
    </row>
    <row r="49" spans="1:10" x14ac:dyDescent="0.25">
      <c r="A49" s="31" t="s">
        <v>297</v>
      </c>
    </row>
    <row r="50" spans="1:10" x14ac:dyDescent="0.25">
      <c r="A50" t="s">
        <v>298</v>
      </c>
      <c r="B50">
        <v>1.1000000000000001</v>
      </c>
      <c r="C50" t="s">
        <v>10</v>
      </c>
      <c r="D50" t="s">
        <v>301</v>
      </c>
      <c r="J50" s="31"/>
    </row>
    <row r="51" spans="1:10" x14ac:dyDescent="0.25">
      <c r="A51" t="s">
        <v>299</v>
      </c>
      <c r="B51">
        <v>1.075</v>
      </c>
      <c r="C51" t="s">
        <v>10</v>
      </c>
      <c r="D51" t="s">
        <v>300</v>
      </c>
      <c r="J51" s="31"/>
    </row>
    <row r="52" spans="1:10" x14ac:dyDescent="0.25">
      <c r="A52" t="s">
        <v>304</v>
      </c>
      <c r="B52">
        <f>10*10^-6</f>
        <v>9.9999999999999991E-6</v>
      </c>
      <c r="C52" t="s">
        <v>11</v>
      </c>
      <c r="D52" t="s">
        <v>305</v>
      </c>
      <c r="J52" s="31"/>
    </row>
    <row r="54" spans="1:10" x14ac:dyDescent="0.25">
      <c r="A54" s="31" t="s">
        <v>355</v>
      </c>
    </row>
    <row r="55" spans="1:10" x14ac:dyDescent="0.25">
      <c r="A55" t="s">
        <v>356</v>
      </c>
      <c r="B55">
        <v>5</v>
      </c>
      <c r="C55" t="s">
        <v>10</v>
      </c>
      <c r="D55" t="s">
        <v>357</v>
      </c>
    </row>
    <row r="57" spans="1:10" x14ac:dyDescent="0.25">
      <c r="A57" s="31" t="s">
        <v>373</v>
      </c>
    </row>
    <row r="58" spans="1:10" x14ac:dyDescent="0.25">
      <c r="A58" t="s">
        <v>374</v>
      </c>
      <c r="B58">
        <f>3.3*(10^-6)</f>
        <v>3.2999999999999997E-6</v>
      </c>
      <c r="C58" t="s">
        <v>11</v>
      </c>
      <c r="D58" t="s">
        <v>375</v>
      </c>
    </row>
    <row r="60" spans="1:10" x14ac:dyDescent="0.25">
      <c r="A60" t="s">
        <v>409</v>
      </c>
    </row>
    <row r="61" spans="1:10" x14ac:dyDescent="0.25">
      <c r="A61" t="s">
        <v>410</v>
      </c>
      <c r="B61">
        <v>1.5</v>
      </c>
      <c r="C61" t="s">
        <v>10</v>
      </c>
      <c r="D61" t="s">
        <v>411</v>
      </c>
    </row>
    <row r="62" spans="1:10" x14ac:dyDescent="0.25">
      <c r="A62" t="s">
        <v>413</v>
      </c>
      <c r="B62">
        <v>45</v>
      </c>
      <c r="D62" t="s">
        <v>412</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P22" sqref="P22"/>
    </sheetView>
  </sheetViews>
  <sheetFormatPr baseColWidth="10" defaultColWidth="9.140625" defaultRowHeight="15" x14ac:dyDescent="0.25"/>
  <cols>
    <col min="3" max="3" width="144.85546875" customWidth="1"/>
  </cols>
  <sheetData>
    <row r="2" spans="2:2" x14ac:dyDescent="0.25">
      <c r="B2" t="str">
        <f>"Eff_vs_IOUT"</f>
        <v>Eff_vs_IOUT</v>
      </c>
    </row>
    <row r="3" spans="2:2" ht="379.7"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
  <sheetViews>
    <sheetView topLeftCell="A4" workbookViewId="0">
      <selection activeCell="B7" sqref="B7"/>
    </sheetView>
  </sheetViews>
  <sheetFormatPr baseColWidth="10" defaultColWidth="9.140625" defaultRowHeight="15" x14ac:dyDescent="0.25"/>
  <cols>
    <col min="1" max="1" width="27.28515625" customWidth="1"/>
    <col min="2" max="2" width="77.140625" customWidth="1"/>
  </cols>
  <sheetData>
    <row r="1" spans="1:8" x14ac:dyDescent="0.25">
      <c r="A1" s="111" t="str">
        <f>IF('Design Converter'!H12= "SKIP", "SCH_1", IF('Design Converter'!H12 = "DEM", "SCH_2", IF('Design Converter'!H12 = "FPWM","SCH_3", "")))</f>
        <v>SCH_3</v>
      </c>
      <c r="F1" t="s">
        <v>604</v>
      </c>
      <c r="G1" t="s">
        <v>605</v>
      </c>
      <c r="H1" t="s">
        <v>606</v>
      </c>
    </row>
    <row r="2" spans="1:8" ht="214.9" customHeight="1" x14ac:dyDescent="0.25">
      <c r="B2" t="s">
        <v>603</v>
      </c>
    </row>
    <row r="5" spans="1:8" ht="214.15" customHeight="1" x14ac:dyDescent="0.25"/>
    <row r="6" spans="1:8" ht="15" customHeight="1" x14ac:dyDescent="0.25"/>
    <row r="7" spans="1:8" ht="213.6" customHeight="1" x14ac:dyDescent="0.25"/>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42" r:id="rId4">
          <objectPr defaultSize="0" r:id="rId5">
            <anchor moveWithCells="1">
              <from>
                <xdr:col>1</xdr:col>
                <xdr:colOff>0</xdr:colOff>
                <xdr:row>1</xdr:row>
                <xdr:rowOff>0</xdr:rowOff>
              </from>
              <to>
                <xdr:col>2</xdr:col>
                <xdr:colOff>28575</xdr:colOff>
                <xdr:row>2</xdr:row>
                <xdr:rowOff>0</xdr:rowOff>
              </to>
            </anchor>
          </objectPr>
        </oleObject>
      </mc:Choice>
      <mc:Fallback>
        <oleObject progId="Visio.Drawing.15" shapeId="10242" r:id="rId4"/>
      </mc:Fallback>
    </mc:AlternateContent>
    <mc:AlternateContent xmlns:mc="http://schemas.openxmlformats.org/markup-compatibility/2006">
      <mc:Choice Requires="x14">
        <oleObject progId="Visio.Drawing.15" shapeId="10243" r:id="rId6">
          <objectPr defaultSize="0" r:id="rId7">
            <anchor moveWithCells="1">
              <from>
                <xdr:col>1</xdr:col>
                <xdr:colOff>0</xdr:colOff>
                <xdr:row>4</xdr:row>
                <xdr:rowOff>0</xdr:rowOff>
              </from>
              <to>
                <xdr:col>2</xdr:col>
                <xdr:colOff>28575</xdr:colOff>
                <xdr:row>5</xdr:row>
                <xdr:rowOff>9525</xdr:rowOff>
              </to>
            </anchor>
          </objectPr>
        </oleObject>
      </mc:Choice>
      <mc:Fallback>
        <oleObject progId="Visio.Drawing.15" shapeId="10243" r:id="rId6"/>
      </mc:Fallback>
    </mc:AlternateContent>
    <mc:AlternateContent xmlns:mc="http://schemas.openxmlformats.org/markup-compatibility/2006">
      <mc:Choice Requires="x14">
        <oleObject progId="Visio.Drawing.15" shapeId="10246" r:id="rId8">
          <objectPr defaultSize="0" r:id="rId9">
            <anchor moveWithCells="1">
              <from>
                <xdr:col>1</xdr:col>
                <xdr:colOff>0</xdr:colOff>
                <xdr:row>6</xdr:row>
                <xdr:rowOff>0</xdr:rowOff>
              </from>
              <to>
                <xdr:col>2</xdr:col>
                <xdr:colOff>28575</xdr:colOff>
                <xdr:row>7</xdr:row>
                <xdr:rowOff>9525</xdr:rowOff>
              </to>
            </anchor>
          </objectPr>
        </oleObject>
      </mc:Choice>
      <mc:Fallback>
        <oleObject progId="Visio.Drawing.15" shapeId="10246" r:id="rId8"/>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F5"/>
  <sheetViews>
    <sheetView workbookViewId="0">
      <selection activeCell="F3" sqref="F3"/>
    </sheetView>
  </sheetViews>
  <sheetFormatPr baseColWidth="10" defaultColWidth="9.140625" defaultRowHeight="15" x14ac:dyDescent="0.25"/>
  <sheetData>
    <row r="2" spans="1:6" x14ac:dyDescent="0.25">
      <c r="A2" t="s">
        <v>389</v>
      </c>
    </row>
    <row r="3" spans="1:6" x14ac:dyDescent="0.25">
      <c r="B3">
        <f>VIN_min</f>
        <v>11</v>
      </c>
      <c r="F3" t="str">
        <f>"SKIP"</f>
        <v>SKIP</v>
      </c>
    </row>
    <row r="4" spans="1:6" x14ac:dyDescent="0.25">
      <c r="B4">
        <f>VIN_nom</f>
        <v>11</v>
      </c>
      <c r="D4">
        <v>2.5</v>
      </c>
      <c r="F4" t="str">
        <f>"DEM"</f>
        <v>DEM</v>
      </c>
    </row>
    <row r="5" spans="1:6" x14ac:dyDescent="0.25">
      <c r="B5">
        <f>VIN_max</f>
        <v>22</v>
      </c>
      <c r="F5" t="str">
        <f>"FPWM"</f>
        <v>FPWM</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155</vt:i4>
      </vt:variant>
    </vt:vector>
  </HeadingPairs>
  <TitlesOfParts>
    <vt:vector size="164"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DC_rip</vt:lpstr>
      <vt:lpstr>Dc_rip_max</vt:lpstr>
      <vt:lpstr>Dc_VIN_max</vt:lpstr>
      <vt:lpstr>Dc_VIN_min</vt:lpstr>
      <vt:lpstr>Dc_VIN_nom</vt:lpstr>
      <vt:lpstr>DC_VIN_var_DCM</vt:lpstr>
      <vt:lpstr>'Design Converter'!Druckbereich</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IIN_33</vt:lpstr>
      <vt:lpstr>IL_avg_VIN_max</vt:lpstr>
      <vt:lpstr>IL_avg_VIN_min</vt:lpstr>
      <vt:lpstr>IL_avg_VIN_nom</vt:lpstr>
      <vt:lpstr>IL_pk</vt:lpstr>
      <vt:lpstr>IL_pk_max</vt:lpstr>
      <vt:lpstr>ILp_VINmax</vt:lpstr>
      <vt:lpstr>ILp_VINmin</vt:lpstr>
      <vt:lpstr>ILp_VINnom</vt:lpstr>
      <vt:lpstr>ILrip</vt:lpstr>
      <vt:lpstr>ILrip_VINmax</vt:lpstr>
      <vt:lpstr>ILrip_VINmin</vt:lpstr>
      <vt:lpstr>ILrip_VINnom</vt:lpstr>
      <vt:lpstr>IOUT</vt:lpstr>
      <vt:lpstr>IOUT_VAR</vt:lpstr>
      <vt:lpstr>Ipk_margin</vt:lpstr>
      <vt:lpstr>Ipk_selected</vt:lpstr>
      <vt:lpstr>IQ</vt:lpstr>
      <vt:lpstr>IRMS_COUT</vt:lpstr>
      <vt:lpstr>Isl</vt:lpstr>
      <vt:lpstr>Iss</vt:lpstr>
      <vt:lpstr>Kd</vt:lpstr>
      <vt:lpstr>Kd_VINmin</vt:lpstr>
      <vt:lpstr>Kex</vt:lpstr>
      <vt:lpstr>Kex_VINmin</vt:lpstr>
      <vt:lpstr>Kfb</vt:lpstr>
      <vt:lpstr>Kfb_high</vt:lpstr>
      <vt:lpstr>Kfb_low</vt:lpstr>
      <vt:lpstr>Km</vt:lpstr>
      <vt:lpstr>Km_VINmin</vt:lpstr>
      <vt:lpstr>Lm</vt:lpstr>
      <vt:lpstr>Lopt_2</vt:lpstr>
      <vt:lpstr>M_L_DCM</vt:lpstr>
      <vt:lpstr>Np</vt:lpstr>
      <vt:lpstr>POUT</vt:lpstr>
      <vt:lpstr>Q</vt:lpstr>
      <vt:lpstr>Q_VINmin</vt:lpstr>
      <vt:lpstr>Qg_tot</vt:lpstr>
      <vt:lpstr>Qg_tot_HS</vt:lpstr>
      <vt:lpstr>Qgd</vt:lpstr>
      <vt:lpstr>Qgs</vt:lpstr>
      <vt:lpstr>Qrr</vt:lpstr>
      <vt:lpstr>R_cs</vt:lpstr>
      <vt:lpstr>R_sl</vt:lpstr>
      <vt:lpstr>RCOMP</vt:lpstr>
      <vt:lpstr>RCOMP_Calc</vt:lpstr>
      <vt:lpstr>Rcomp_calc_CCM</vt:lpstr>
      <vt:lpstr>RCOMP_CALC_DCM</vt:lpstr>
      <vt:lpstr>Rcs_max</vt:lpstr>
      <vt:lpstr>Rcs_wo_sl</vt:lpstr>
      <vt:lpstr>Rdcr</vt:lpstr>
      <vt:lpstr>RDS_on</vt:lpstr>
      <vt:lpstr>RDS_on_HS</vt:lpstr>
      <vt:lpstr>Resr</vt:lpstr>
      <vt:lpstr>RFBB</vt:lpstr>
      <vt:lpstr>RFBB_calc</vt:lpstr>
      <vt:lpstr>RFBT</vt:lpstr>
      <vt:lpstr>Rgate</vt:lpstr>
      <vt:lpstr>Rmax</vt:lpstr>
      <vt:lpstr>Rmax_high</vt:lpstr>
      <vt:lpstr>Rmax_low</vt:lpstr>
      <vt:lpstr>Rmin</vt:lpstr>
      <vt:lpstr>Rmin_high</vt:lpstr>
      <vt:lpstr>Rmin_low</vt:lpstr>
      <vt:lpstr>ROUT</vt:lpstr>
      <vt:lpstr>Rsl_int</vt:lpstr>
      <vt:lpstr>RT</vt:lpstr>
      <vt:lpstr>Ruvlo_bottom_calc</vt:lpstr>
      <vt:lpstr>Ruvlo_top</vt:lpstr>
      <vt:lpstr>Ruvlo_top_calc</vt:lpstr>
      <vt:lpstr>SCH_1</vt:lpstr>
      <vt:lpstr>SCH_2</vt:lpstr>
      <vt:lpstr>SCH_3</vt:lpstr>
      <vt:lpstr>Se_VINmin</vt:lpstr>
      <vt:lpstr>Sn_VINmin</vt:lpstr>
      <vt:lpstr>t_dead</vt:lpstr>
      <vt:lpstr>tf_sw</vt:lpstr>
      <vt:lpstr>tr_sw</vt:lpstr>
      <vt:lpstr>tss</vt:lpstr>
      <vt:lpstr>UV_fall</vt:lpstr>
      <vt:lpstr>UV_I_hyst</vt:lpstr>
      <vt:lpstr>UV_rise</vt:lpstr>
      <vt:lpstr>Vcc</vt:lpstr>
      <vt:lpstr>Vcl</vt:lpstr>
      <vt:lpstr>Vd_rect</vt:lpstr>
      <vt:lpstr>VIN_33</vt:lpstr>
      <vt:lpstr>VIN_max</vt:lpstr>
      <vt:lpstr>VIN_min</vt:lpstr>
      <vt:lpstr>VIN_nom</vt:lpstr>
      <vt:lpstr>VIN_op_max</vt:lpstr>
      <vt:lpstr>VIN_op_min</vt:lpstr>
      <vt:lpstr>VIN_var</vt:lpstr>
      <vt:lpstr>VOUT</vt:lpstr>
      <vt:lpstr>VOUT_range</vt:lpstr>
      <vt:lpstr>Vout_rip_sel</vt:lpstr>
      <vt:lpstr>Vref</vt:lpstr>
      <vt:lpstr>Vsl</vt:lpstr>
      <vt:lpstr>Vth</vt:lpstr>
      <vt:lpstr>VTRK</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Alex Kharitonov</cp:lastModifiedBy>
  <cp:lastPrinted>2018-08-09T07:13:51Z</cp:lastPrinted>
  <dcterms:created xsi:type="dcterms:W3CDTF">2018-06-26T09:13:29Z</dcterms:created>
  <dcterms:modified xsi:type="dcterms:W3CDTF">2024-07-24T22:55:29Z</dcterms:modified>
</cp:coreProperties>
</file>