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910" windowHeight="10155" activeTab="3"/>
  </bookViews>
  <sheets>
    <sheet name="Formules" sheetId="1" r:id="rId1"/>
    <sheet name="Calculs Rova" sheetId="2" r:id="rId2"/>
    <sheet name="Coords" sheetId="3" r:id="rId3"/>
    <sheet name="Radiateur" sheetId="4" r:id="rId4"/>
  </sheets>
  <definedNames>
    <definedName name="a">Coords!$D$16</definedName>
    <definedName name="a_prime">Coords!$G$16</definedName>
    <definedName name="a0">Formules!$C$17</definedName>
    <definedName name="angle">Formules!$E$4</definedName>
    <definedName name="b">Coords!$D$17</definedName>
    <definedName name="b_prime">Coords!$G$17</definedName>
    <definedName name="ccd">Formules!$C$2</definedName>
    <definedName name="centre_direction">'Calculs Rova'!$P$3</definedName>
    <definedName name="conv_deg_px">Formules!$H$4</definedName>
    <definedName name="conv_px_deg">Formules!$J$4</definedName>
    <definedName name="d">Formules!$C$7</definedName>
    <definedName name="e">Formules!$H$5</definedName>
    <definedName name="f">Formules!$C$3</definedName>
    <definedName name="h">Coords!$D$10</definedName>
    <definedName name="lE">Radiateur!$R$5</definedName>
    <definedName name="t">Formules!$C$8</definedName>
    <definedName name="tMax">Formules!$C$4</definedName>
    <definedName name="tR">Formules!$C$9</definedName>
    <definedName name="tRTém">Formules!$C$6</definedName>
    <definedName name="tTém">Formules!$C$5</definedName>
    <definedName name="w">Radiateur!$R$7</definedName>
    <definedName name="x">Coords!$D$18</definedName>
    <definedName name="x_1">Coords!$D$6</definedName>
    <definedName name="x_2">Coords!$D$8</definedName>
    <definedName name="x_3">Coords!$G$6</definedName>
    <definedName name="x_4">Coords!$G$8</definedName>
    <definedName name="xmax">Coords!$D$13</definedName>
    <definedName name="xmin">Coords!$D$11</definedName>
    <definedName name="y">Coords!$D$20</definedName>
    <definedName name="y_1">Coords!$D$7</definedName>
    <definedName name="y_2">Coords!$D$9</definedName>
    <definedName name="y_3">Coords!$G$7</definedName>
    <definedName name="y_4">Coords!$G$9</definedName>
    <definedName name="ymax">Coords!$D$14</definedName>
    <definedName name="ymin">Coords!$D$12</definedName>
    <definedName name="αE">Radiateur!$R$4</definedName>
    <definedName name="ρE">Radiateur!$R$6</definedName>
  </definedNames>
  <calcPr calcId="125725"/>
</workbook>
</file>

<file path=xl/calcChain.xml><?xml version="1.0" encoding="utf-8"?>
<calcChain xmlns="http://schemas.openxmlformats.org/spreadsheetml/2006/main">
  <c r="H39" i="4"/>
  <c r="L39"/>
  <c r="N39" s="1"/>
  <c r="M39"/>
  <c r="H29"/>
  <c r="L29" s="1"/>
  <c r="N29" s="1"/>
  <c r="H30"/>
  <c r="L30" s="1"/>
  <c r="N30" s="1"/>
  <c r="H31"/>
  <c r="L31" s="1"/>
  <c r="N31" s="1"/>
  <c r="H32"/>
  <c r="H33"/>
  <c r="H34"/>
  <c r="L34" s="1"/>
  <c r="N34" s="1"/>
  <c r="H35"/>
  <c r="L35" s="1"/>
  <c r="N35" s="1"/>
  <c r="H36"/>
  <c r="H37"/>
  <c r="L37" s="1"/>
  <c r="N37" s="1"/>
  <c r="H38"/>
  <c r="L38" s="1"/>
  <c r="N38" s="1"/>
  <c r="L32"/>
  <c r="N32" s="1"/>
  <c r="L33"/>
  <c r="N33" s="1"/>
  <c r="L36"/>
  <c r="N36" s="1"/>
  <c r="M29"/>
  <c r="M30"/>
  <c r="M31"/>
  <c r="M32"/>
  <c r="M33"/>
  <c r="M34"/>
  <c r="M35"/>
  <c r="M36"/>
  <c r="M37"/>
  <c r="M38"/>
  <c r="N1"/>
  <c r="H17"/>
  <c r="L17" s="1"/>
  <c r="N17" s="1"/>
  <c r="M17"/>
  <c r="H28"/>
  <c r="L28" s="1"/>
  <c r="N28" s="1"/>
  <c r="M28"/>
  <c r="H25"/>
  <c r="L25" s="1"/>
  <c r="N25" s="1"/>
  <c r="H26"/>
  <c r="L26" s="1"/>
  <c r="N26" s="1"/>
  <c r="H27"/>
  <c r="L27" s="1"/>
  <c r="N27" s="1"/>
  <c r="M25"/>
  <c r="M26"/>
  <c r="M27"/>
  <c r="H21"/>
  <c r="L21" s="1"/>
  <c r="N21" s="1"/>
  <c r="H22"/>
  <c r="L22" s="1"/>
  <c r="N22" s="1"/>
  <c r="H23"/>
  <c r="L23" s="1"/>
  <c r="N23" s="1"/>
  <c r="M21"/>
  <c r="M22"/>
  <c r="M23"/>
  <c r="H14"/>
  <c r="L14" s="1"/>
  <c r="N14" s="1"/>
  <c r="H15"/>
  <c r="L15" s="1"/>
  <c r="N15" s="1"/>
  <c r="H16"/>
  <c r="L16" s="1"/>
  <c r="N16" s="1"/>
  <c r="H18"/>
  <c r="L18" s="1"/>
  <c r="N18" s="1"/>
  <c r="H19"/>
  <c r="L19" s="1"/>
  <c r="N19" s="1"/>
  <c r="H20"/>
  <c r="L20" s="1"/>
  <c r="N20" s="1"/>
  <c r="H24"/>
  <c r="L24" s="1"/>
  <c r="N24" s="1"/>
  <c r="M14"/>
  <c r="M15"/>
  <c r="M16"/>
  <c r="M18"/>
  <c r="M19"/>
  <c r="M20"/>
  <c r="M24"/>
  <c r="H12"/>
  <c r="L12" s="1"/>
  <c r="N12" s="1"/>
  <c r="H13"/>
  <c r="L13" s="1"/>
  <c r="N13" s="1"/>
  <c r="M12"/>
  <c r="M13"/>
  <c r="H11"/>
  <c r="L11" s="1"/>
  <c r="N11" s="1"/>
  <c r="M11"/>
  <c r="H10"/>
  <c r="L10" s="1"/>
  <c r="N10" s="1"/>
  <c r="M10"/>
  <c r="H9"/>
  <c r="L9" s="1"/>
  <c r="N9" s="1"/>
  <c r="M9"/>
  <c r="H8"/>
  <c r="L8" s="1"/>
  <c r="N8" s="1"/>
  <c r="M8"/>
  <c r="H4"/>
  <c r="H5"/>
  <c r="L5" s="1"/>
  <c r="N5" s="1"/>
  <c r="H6"/>
  <c r="L6" s="1"/>
  <c r="N6" s="1"/>
  <c r="H7"/>
  <c r="L7" s="1"/>
  <c r="N7" s="1"/>
  <c r="L4"/>
  <c r="N4" s="1"/>
  <c r="M7"/>
  <c r="M6"/>
  <c r="R6"/>
  <c r="D39" s="1"/>
  <c r="J39" s="1"/>
  <c r="M5"/>
  <c r="M4"/>
  <c r="F9" i="2"/>
  <c r="H9" s="1"/>
  <c r="I9"/>
  <c r="J9" s="1"/>
  <c r="F10"/>
  <c r="H10" s="1"/>
  <c r="I10"/>
  <c r="J10" s="1"/>
  <c r="G17" i="3"/>
  <c r="D17"/>
  <c r="D16" s="1"/>
  <c r="D19" s="1"/>
  <c r="D11"/>
  <c r="D13" s="1"/>
  <c r="D14"/>
  <c r="F15" i="2"/>
  <c r="H15" s="1"/>
  <c r="I15"/>
  <c r="F16"/>
  <c r="G16" s="1"/>
  <c r="E16" s="1"/>
  <c r="I16"/>
  <c r="J16" s="1"/>
  <c r="F8"/>
  <c r="H8" s="1"/>
  <c r="I8"/>
  <c r="J8" s="1"/>
  <c r="F4"/>
  <c r="H4" s="1"/>
  <c r="I4"/>
  <c r="F22"/>
  <c r="H22" s="1"/>
  <c r="I22"/>
  <c r="F23"/>
  <c r="H23" s="1"/>
  <c r="I23"/>
  <c r="F21"/>
  <c r="H21" s="1"/>
  <c r="I21"/>
  <c r="J21" s="1"/>
  <c r="F11"/>
  <c r="H11" s="1"/>
  <c r="I11"/>
  <c r="J11" s="1"/>
  <c r="F13"/>
  <c r="G13" s="1"/>
  <c r="E13" s="1"/>
  <c r="I13"/>
  <c r="J13" s="1"/>
  <c r="P4"/>
  <c r="I17"/>
  <c r="J17" s="1"/>
  <c r="I14"/>
  <c r="J14" s="1"/>
  <c r="I18"/>
  <c r="J18" s="1"/>
  <c r="I19"/>
  <c r="J19" s="1"/>
  <c r="I20"/>
  <c r="J20" s="1"/>
  <c r="I12"/>
  <c r="J12" s="1"/>
  <c r="I6"/>
  <c r="J6" s="1"/>
  <c r="F20"/>
  <c r="H20" s="1"/>
  <c r="F19"/>
  <c r="H19" s="1"/>
  <c r="F18"/>
  <c r="H18" s="1"/>
  <c r="F17"/>
  <c r="H17" s="1"/>
  <c r="F14"/>
  <c r="H14" s="1"/>
  <c r="F12"/>
  <c r="H12" s="1"/>
  <c r="F6"/>
  <c r="H6" s="1"/>
  <c r="G25" i="1"/>
  <c r="G26" s="1"/>
  <c r="D38" i="4" l="1"/>
  <c r="J38" s="1"/>
  <c r="D34"/>
  <c r="J34" s="1"/>
  <c r="D30"/>
  <c r="J30" s="1"/>
  <c r="D32"/>
  <c r="J32" s="1"/>
  <c r="D37"/>
  <c r="J37" s="1"/>
  <c r="D33"/>
  <c r="J33" s="1"/>
  <c r="D29"/>
  <c r="J29" s="1"/>
  <c r="D35"/>
  <c r="J35" s="1"/>
  <c r="D31"/>
  <c r="J31" s="1"/>
  <c r="D36"/>
  <c r="J36" s="1"/>
  <c r="D17"/>
  <c r="J17" s="1"/>
  <c r="D1"/>
  <c r="D28"/>
  <c r="D25"/>
  <c r="J25" s="1"/>
  <c r="D26"/>
  <c r="J26" s="1"/>
  <c r="D27"/>
  <c r="J27" s="1"/>
  <c r="D23"/>
  <c r="J23" s="1"/>
  <c r="D22"/>
  <c r="J22" s="1"/>
  <c r="D19"/>
  <c r="J19" s="1"/>
  <c r="D21"/>
  <c r="J21" s="1"/>
  <c r="D15"/>
  <c r="J15" s="1"/>
  <c r="D14"/>
  <c r="J14" s="1"/>
  <c r="D20"/>
  <c r="J20" s="1"/>
  <c r="D16"/>
  <c r="J16" s="1"/>
  <c r="D24"/>
  <c r="J24" s="1"/>
  <c r="D18"/>
  <c r="J18" s="1"/>
  <c r="D13"/>
  <c r="J13" s="1"/>
  <c r="D12"/>
  <c r="J12" s="1"/>
  <c r="D11"/>
  <c r="J11" s="1"/>
  <c r="D10"/>
  <c r="J10" s="1"/>
  <c r="D4"/>
  <c r="J4" s="1"/>
  <c r="D7"/>
  <c r="J7" s="1"/>
  <c r="D8"/>
  <c r="J8" s="1"/>
  <c r="D9"/>
  <c r="J9" s="1"/>
  <c r="D5"/>
  <c r="J5" s="1"/>
  <c r="D6"/>
  <c r="J6" s="1"/>
  <c r="K9" i="2"/>
  <c r="G9"/>
  <c r="E9" s="1"/>
  <c r="M9" s="1"/>
  <c r="L9"/>
  <c r="K10"/>
  <c r="G10"/>
  <c r="E10" s="1"/>
  <c r="M10" s="1"/>
  <c r="L10"/>
  <c r="G16" i="3"/>
  <c r="D21"/>
  <c r="H16" i="2"/>
  <c r="K16"/>
  <c r="L16"/>
  <c r="M16"/>
  <c r="L15"/>
  <c r="K15"/>
  <c r="G15"/>
  <c r="E15" s="1"/>
  <c r="M15" s="1"/>
  <c r="J15"/>
  <c r="G8"/>
  <c r="E8" s="1"/>
  <c r="M8" s="1"/>
  <c r="K8"/>
  <c r="L8"/>
  <c r="L4"/>
  <c r="J4"/>
  <c r="K4"/>
  <c r="G4"/>
  <c r="E4" s="1"/>
  <c r="M4" s="1"/>
  <c r="L22"/>
  <c r="J22"/>
  <c r="K22"/>
  <c r="G22"/>
  <c r="E22" s="1"/>
  <c r="M22" s="1"/>
  <c r="L23"/>
  <c r="J23"/>
  <c r="K23"/>
  <c r="G23"/>
  <c r="E23" s="1"/>
  <c r="M23" s="1"/>
  <c r="K21"/>
  <c r="G21"/>
  <c r="E21" s="1"/>
  <c r="M21" s="1"/>
  <c r="L21"/>
  <c r="K13"/>
  <c r="K12"/>
  <c r="H13"/>
  <c r="G12"/>
  <c r="E12" s="1"/>
  <c r="M12" s="1"/>
  <c r="K18"/>
  <c r="G18"/>
  <c r="E18" s="1"/>
  <c r="M18" s="1"/>
  <c r="K11"/>
  <c r="L11"/>
  <c r="G11"/>
  <c r="E11" s="1"/>
  <c r="M11" s="1"/>
  <c r="L13"/>
  <c r="M13"/>
  <c r="L17"/>
  <c r="L6"/>
  <c r="L19"/>
  <c r="G6"/>
  <c r="E6" s="1"/>
  <c r="M6" s="1"/>
  <c r="G19"/>
  <c r="E19" s="1"/>
  <c r="M19" s="1"/>
  <c r="L20"/>
  <c r="G20"/>
  <c r="E20" s="1"/>
  <c r="M20" s="1"/>
  <c r="G17"/>
  <c r="E17" s="1"/>
  <c r="M17" s="1"/>
  <c r="L14"/>
  <c r="G14"/>
  <c r="E14" s="1"/>
  <c r="M14" s="1"/>
  <c r="L12"/>
  <c r="L18"/>
  <c r="K20"/>
  <c r="K17"/>
  <c r="K14"/>
  <c r="K6"/>
  <c r="K19"/>
  <c r="J4" i="1"/>
  <c r="H4"/>
  <c r="E4"/>
  <c r="J8" s="1"/>
  <c r="G18" i="3" l="1"/>
  <c r="G19" s="1"/>
  <c r="E16" i="1"/>
  <c r="C17" s="1"/>
  <c r="E8"/>
  <c r="J5"/>
  <c r="J9"/>
  <c r="E5"/>
  <c r="C18" l="1"/>
  <c r="E19"/>
  <c r="G19" s="1"/>
  <c r="C7"/>
  <c r="H6"/>
  <c r="H7"/>
  <c r="C9" l="1"/>
  <c r="H9"/>
  <c r="H8"/>
  <c r="J28" i="4" l="1"/>
  <c r="K40" s="1"/>
  <c r="I2" s="1"/>
  <c r="J40" l="1"/>
  <c r="K39" s="1"/>
  <c r="K32" l="1"/>
  <c r="K38"/>
  <c r="K30"/>
  <c r="K34"/>
  <c r="K29"/>
  <c r="K37"/>
  <c r="K36"/>
  <c r="K31"/>
  <c r="K33"/>
  <c r="K35"/>
  <c r="K17"/>
  <c r="F2"/>
  <c r="D2"/>
  <c r="E1"/>
  <c r="K14"/>
  <c r="K18"/>
  <c r="K5"/>
  <c r="K16"/>
  <c r="K15"/>
  <c r="K9"/>
  <c r="K13"/>
  <c r="K10"/>
  <c r="K6"/>
  <c r="K24"/>
  <c r="K22"/>
  <c r="K28"/>
  <c r="K7"/>
  <c r="K19"/>
  <c r="K21"/>
  <c r="K27"/>
  <c r="K4"/>
  <c r="K11"/>
  <c r="K20"/>
  <c r="K8"/>
  <c r="K26"/>
  <c r="K25"/>
  <c r="K23"/>
  <c r="K12"/>
  <c r="I1" l="1"/>
  <c r="M2"/>
  <c r="M1"/>
</calcChain>
</file>

<file path=xl/comments1.xml><?xml version="1.0" encoding="utf-8"?>
<comments xmlns="http://schemas.openxmlformats.org/spreadsheetml/2006/main">
  <authors>
    <author>LAVIGNE Mathieu (mlavigne)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LAVIGNE Mathieu (mlavigne):
</t>
        </r>
        <r>
          <rPr>
            <sz val="9"/>
            <color indexed="81"/>
            <rFont val="Tahoma"/>
            <family val="2"/>
          </rPr>
          <t>Fonction à implémenter pour chaque objectif. alpha(l)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LAVIGNE Mathieu (mlavigne):</t>
        </r>
        <r>
          <rPr>
            <sz val="9"/>
            <color indexed="81"/>
            <rFont val="Tahoma"/>
            <family val="2"/>
          </rPr>
          <t xml:space="preserve">
Direction (google 0..360) par rapport au Nord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LAVIGNE Mathieu (mlavigne):</t>
        </r>
        <r>
          <rPr>
            <sz val="9"/>
            <color indexed="81"/>
            <rFont val="Tahoma"/>
            <family val="2"/>
          </rPr>
          <t xml:space="preserve">
Direction du centre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LAVIGNE Mathieu (mlavigne):</t>
        </r>
        <r>
          <rPr>
            <sz val="9"/>
            <color indexed="81"/>
            <rFont val="Tahoma"/>
            <family val="2"/>
          </rPr>
          <t xml:space="preserve">
Fonction à implémenter pour chaque objectif. f(dx, dy, width, height)</t>
        </r>
      </text>
    </comment>
    <comment ref="K40" authorId="0">
      <text>
        <r>
          <rPr>
            <b/>
            <sz val="9"/>
            <color indexed="81"/>
            <rFont val="Tahoma"/>
            <family val="2"/>
          </rPr>
          <t>LAVIGNE Mathieu (mlavigne):</t>
        </r>
        <r>
          <rPr>
            <sz val="9"/>
            <color indexed="81"/>
            <rFont val="Tahoma"/>
            <family val="2"/>
          </rPr>
          <t xml:space="preserve">
Affecter des poids à chaque calcul en fonction de l'erreur de mesure pour chaque point</t>
        </r>
      </text>
    </comment>
  </commentList>
</comments>
</file>

<file path=xl/sharedStrings.xml><?xml version="1.0" encoding="utf-8"?>
<sst xmlns="http://schemas.openxmlformats.org/spreadsheetml/2006/main" count="210" uniqueCount="130">
  <si>
    <t>Largeur CCD</t>
  </si>
  <si>
    <t>Longueur focale</t>
  </si>
  <si>
    <t>Distance du sujet</t>
  </si>
  <si>
    <t>Taille du sujet</t>
  </si>
  <si>
    <t>Taille de l'image</t>
  </si>
  <si>
    <t>mm</t>
  </si>
  <si>
    <t>px</t>
  </si>
  <si>
    <t>m</t>
  </si>
  <si>
    <t>Taille réelle</t>
  </si>
  <si>
    <t>°</t>
  </si>
  <si>
    <t>Taille du témoin</t>
  </si>
  <si>
    <t>Marge d'erreur</t>
  </si>
  <si>
    <t>Distance min.</t>
  </si>
  <si>
    <t>Distance max.</t>
  </si>
  <si>
    <t>Taille min.</t>
  </si>
  <si>
    <t>Taille max.</t>
  </si>
  <si>
    <t>Orientation</t>
  </si>
  <si>
    <t>Direction repère</t>
  </si>
  <si>
    <t>Bord du lac à droite sur la photo</t>
  </si>
  <si>
    <t>x sur la photo</t>
  </si>
  <si>
    <t>Orientation bord gauche</t>
  </si>
  <si>
    <t>Orientation bord droit</t>
  </si>
  <si>
    <t>Soit</t>
  </si>
  <si>
    <t>px/°</t>
  </si>
  <si>
    <t>°/px</t>
  </si>
  <si>
    <t>x</t>
  </si>
  <si>
    <t>direction</t>
  </si>
  <si>
    <t>dx</t>
  </si>
  <si>
    <t>abs(dx)</t>
  </si>
  <si>
    <t>Centre ?</t>
  </si>
  <si>
    <t>d. dir.</t>
  </si>
  <si>
    <t>dpx / d°</t>
  </si>
  <si>
    <t>d° / dpx %</t>
  </si>
  <si>
    <t>pos.</t>
  </si>
  <si>
    <t>angle théoriq.</t>
  </si>
  <si>
    <t>Angle max th.</t>
  </si>
  <si>
    <t>correction angulaire</t>
  </si>
  <si>
    <t>Nom</t>
  </si>
  <si>
    <t>Cabane foot</t>
  </si>
  <si>
    <t>Arbre hypodrome</t>
  </si>
  <si>
    <t>abs(ddir)</t>
  </si>
  <si>
    <t>Bord droit de l'immeuble derrière le stade tout à droite</t>
  </si>
  <si>
    <t>Bord droit de la maison au toit en tuile à l'extrême droit</t>
  </si>
  <si>
    <t>Bord gauche de la maison au toit en tuile à l'extrême droit</t>
  </si>
  <si>
    <t>Bord gauche de l'usine devant le lac Anda.</t>
  </si>
  <si>
    <t>Bord droit de l'usine devant le lac Anda.</t>
  </si>
  <si>
    <t>Bord gauche de l'immeuble à droite de l'hypo</t>
  </si>
  <si>
    <t>Bord droit de l'immeuble à droite de l'hypo</t>
  </si>
  <si>
    <t>67 ha Sud</t>
  </si>
  <si>
    <t>Prolonger une ligne</t>
  </si>
  <si>
    <t>x1</t>
  </si>
  <si>
    <t>y1</t>
  </si>
  <si>
    <t>x2</t>
  </si>
  <si>
    <t>y2</t>
  </si>
  <si>
    <t>h</t>
  </si>
  <si>
    <t>xmin</t>
  </si>
  <si>
    <t>ymin</t>
  </si>
  <si>
    <t>xmax</t>
  </si>
  <si>
    <t>ymax</t>
  </si>
  <si>
    <t>y = ax + b</t>
  </si>
  <si>
    <t>a</t>
  </si>
  <si>
    <t>b</t>
  </si>
  <si>
    <t>f(x)</t>
  </si>
  <si>
    <t>y</t>
  </si>
  <si>
    <t>f(y)</t>
  </si>
  <si>
    <t>y = a'x + b'</t>
  </si>
  <si>
    <t>a'</t>
  </si>
  <si>
    <t>b'</t>
  </si>
  <si>
    <t>xinter</t>
  </si>
  <si>
    <t>yinter</t>
  </si>
  <si>
    <t>x3</t>
  </si>
  <si>
    <t>y3</t>
  </si>
  <si>
    <t>nom</t>
  </si>
  <si>
    <t>Arr AndaD</t>
  </si>
  <si>
    <t>sombre Anda A</t>
  </si>
  <si>
    <t>Colonne1</t>
  </si>
  <si>
    <t>Lac Anda. A bottom-left</t>
  </si>
  <si>
    <t>Lac Anda. B top-left</t>
  </si>
  <si>
    <t>Lac Anda. C bottom-right</t>
  </si>
  <si>
    <t>Lac Anda. D top-right</t>
  </si>
  <si>
    <t>l</t>
  </si>
  <si>
    <t>α</t>
  </si>
  <si>
    <t>width</t>
  </si>
  <si>
    <t>height</t>
  </si>
  <si>
    <t>dy</t>
  </si>
  <si>
    <t>Repère :</t>
  </si>
  <si>
    <r>
      <t>α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=</t>
    </r>
  </si>
  <si>
    <r>
      <t>l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=</t>
    </r>
  </si>
  <si>
    <t>40 ronds</t>
  </si>
  <si>
    <t>80 ronds</t>
  </si>
  <si>
    <t>dir</t>
  </si>
  <si>
    <r>
      <t>dir</t>
    </r>
    <r>
      <rPr>
        <vertAlign val="subscript"/>
        <sz val="11"/>
        <color theme="1"/>
        <rFont val="Calibri"/>
        <family val="2"/>
        <scheme val="minor"/>
      </rPr>
      <t>C</t>
    </r>
  </si>
  <si>
    <t>(- à gauche, + à droite)</t>
  </si>
  <si>
    <t>(tan alpha E / l E)</t>
  </si>
  <si>
    <r>
      <rPr>
        <sz val="11"/>
        <color theme="1"/>
        <rFont val="Calibri"/>
        <family val="2"/>
      </rPr>
      <t>ρ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=</t>
    </r>
  </si>
  <si>
    <t>width =</t>
  </si>
  <si>
    <t>Photo</t>
  </si>
  <si>
    <t>Radiateur</t>
  </si>
  <si>
    <t>Rova</t>
  </si>
  <si>
    <t>Total</t>
  </si>
  <si>
    <t>éc. type dir</t>
  </si>
  <si>
    <t>Jardin du Clos Mutta 2.JPG</t>
  </si>
  <si>
    <t>Cheminée tourterelles min</t>
  </si>
  <si>
    <t>Cheminée tourterelles max</t>
  </si>
  <si>
    <t>Cabane gauche</t>
  </si>
  <si>
    <r>
      <t xml:space="preserve">Prendre à chaque repère le bord </t>
    </r>
    <r>
      <rPr>
        <b/>
        <sz val="11"/>
        <color theme="1"/>
        <rFont val="Calibri"/>
        <family val="2"/>
        <scheme val="minor"/>
      </rPr>
      <t>gauche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plus près</t>
    </r>
    <r>
      <rPr>
        <sz val="11"/>
        <color theme="1"/>
        <rFont val="Calibri"/>
        <family val="2"/>
        <scheme val="minor"/>
      </rPr>
      <t xml:space="preserve"> de l'objectif</t>
    </r>
  </si>
  <si>
    <t>Papouf cheminée 1 min</t>
  </si>
  <si>
    <t>Papouf cheminée 2 max</t>
  </si>
  <si>
    <t>Papouf cheminée 3 max</t>
  </si>
  <si>
    <t>Papouf cheminée 1 max</t>
  </si>
  <si>
    <t>Papouf cheminée 2 min</t>
  </si>
  <si>
    <t>Papouf cheminée 3 min</t>
  </si>
  <si>
    <t>Papouf vasistas min</t>
  </si>
  <si>
    <t>Papouf vasistas max</t>
  </si>
  <si>
    <t>Fêt devant papouf</t>
  </si>
  <si>
    <t>Compteur électrique</t>
  </si>
  <si>
    <t>Cabane Patricia bord proche</t>
  </si>
  <si>
    <t>Goutières tourterelles</t>
  </si>
  <si>
    <t>erreur/km</t>
  </si>
  <si>
    <t>distance min</t>
  </si>
  <si>
    <t>distance max</t>
  </si>
  <si>
    <t>erreur min</t>
  </si>
  <si>
    <t>erreur max</t>
  </si>
  <si>
    <t>Chéminée entre deux min</t>
  </si>
  <si>
    <t>Chéminée entre deux max</t>
  </si>
  <si>
    <t>Coucher de soleil sur Romillé.JPG</t>
  </si>
  <si>
    <t>École cheminée 3 min</t>
  </si>
  <si>
    <t>École cheminée 3 max</t>
  </si>
  <si>
    <t>éc. type/km</t>
  </si>
  <si>
    <t>Poteau compteur</t>
  </si>
</sst>
</file>

<file path=xl/styles.xml><?xml version="1.0" encoding="utf-8"?>
<styleSheet xmlns="http://schemas.openxmlformats.org/spreadsheetml/2006/main">
  <numFmts count="6">
    <numFmt numFmtId="164" formatCode="0.0"/>
    <numFmt numFmtId="165" formatCode="0&quot; px&quot;"/>
    <numFmt numFmtId="166" formatCode="0.00&quot;°&quot;"/>
    <numFmt numFmtId="167" formatCode="0.00&quot; °&quot;"/>
    <numFmt numFmtId="170" formatCode="0&quot; m&quot;"/>
    <numFmt numFmtId="171" formatCode="0.0&quot; m&quot;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1" xfId="0" applyBorder="1"/>
    <xf numFmtId="2" fontId="0" fillId="0" borderId="1" xfId="0" applyNumberFormat="1" applyBorder="1"/>
    <xf numFmtId="0" fontId="0" fillId="2" borderId="1" xfId="0" applyNumberFormat="1" applyFill="1" applyBorder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1" applyFont="1"/>
    <xf numFmtId="0" fontId="0" fillId="0" borderId="0" xfId="0" applyNumberFormat="1"/>
    <xf numFmtId="165" fontId="0" fillId="0" borderId="0" xfId="0" applyNumberFormat="1" applyBorder="1"/>
    <xf numFmtId="166" fontId="0" fillId="0" borderId="0" xfId="0" applyNumberFormat="1" applyBorder="1"/>
    <xf numFmtId="9" fontId="0" fillId="0" borderId="0" xfId="1" applyFont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Border="1"/>
    <xf numFmtId="0" fontId="2" fillId="0" borderId="0" xfId="0" applyFont="1"/>
    <xf numFmtId="0" fontId="0" fillId="3" borderId="0" xfId="0" applyFill="1"/>
    <xf numFmtId="0" fontId="0" fillId="4" borderId="0" xfId="0" applyFill="1"/>
    <xf numFmtId="0" fontId="4" fillId="0" borderId="0" xfId="0" applyFont="1"/>
    <xf numFmtId="0" fontId="3" fillId="4" borderId="0" xfId="0" applyFont="1" applyFill="1"/>
    <xf numFmtId="0" fontId="0" fillId="0" borderId="0" xfId="0" applyAlignment="1">
      <alignment horizontal="right"/>
    </xf>
    <xf numFmtId="167" fontId="0" fillId="0" borderId="0" xfId="0" applyNumberFormat="1"/>
    <xf numFmtId="167" fontId="0" fillId="0" borderId="2" xfId="0" applyNumberFormat="1" applyFont="1" applyBorder="1"/>
    <xf numFmtId="167" fontId="0" fillId="4" borderId="0" xfId="0" applyNumberFormat="1" applyFont="1" applyFill="1" applyBorder="1"/>
    <xf numFmtId="165" fontId="0" fillId="4" borderId="0" xfId="0" applyNumberFormat="1" applyFill="1" applyBorder="1"/>
    <xf numFmtId="11" fontId="0" fillId="4" borderId="0" xfId="1" applyNumberFormat="1" applyFont="1" applyFill="1" applyBorder="1"/>
    <xf numFmtId="167" fontId="0" fillId="0" borderId="0" xfId="0" applyNumberFormat="1" applyBorder="1"/>
    <xf numFmtId="165" fontId="0" fillId="5" borderId="2" xfId="0" applyNumberFormat="1" applyFont="1" applyFill="1" applyBorder="1"/>
    <xf numFmtId="167" fontId="0" fillId="4" borderId="0" xfId="0" applyNumberFormat="1" applyFill="1"/>
    <xf numFmtId="165" fontId="0" fillId="0" borderId="2" xfId="0" applyNumberFormat="1" applyBorder="1"/>
    <xf numFmtId="170" fontId="0" fillId="0" borderId="2" xfId="0" applyNumberFormat="1" applyBorder="1"/>
    <xf numFmtId="171" fontId="0" fillId="0" borderId="2" xfId="0" applyNumberFormat="1" applyBorder="1"/>
    <xf numFmtId="165" fontId="0" fillId="0" borderId="2" xfId="0" applyNumberFormat="1" applyFont="1" applyFill="1" applyBorder="1"/>
    <xf numFmtId="171" fontId="0" fillId="0" borderId="2" xfId="0" applyNumberFormat="1" applyFont="1" applyBorder="1"/>
  </cellXfs>
  <cellStyles count="2">
    <cellStyle name="Normal" xfId="0" builtinId="0"/>
    <cellStyle name="Pourcentage" xfId="1" builtinId="5"/>
  </cellStyles>
  <dxfs count="26">
    <dxf>
      <numFmt numFmtId="165" formatCode="0&quot; px&quot;"/>
    </dxf>
    <dxf>
      <numFmt numFmtId="167" formatCode="0.00&quot; °&quot;"/>
    </dxf>
    <dxf>
      <numFmt numFmtId="167" formatCode="0.00&quot; °&quot;"/>
    </dxf>
    <dxf>
      <numFmt numFmtId="165" formatCode="0&quot; px&quot;"/>
    </dxf>
    <dxf>
      <numFmt numFmtId="165" formatCode="0&quot; px&quot;"/>
    </dxf>
    <dxf>
      <numFmt numFmtId="165" formatCode="0&quot; px&quot;"/>
    </dxf>
    <dxf>
      <numFmt numFmtId="167" formatCode="0.00&quot; °&quot;"/>
    </dxf>
    <dxf>
      <numFmt numFmtId="167" formatCode="0.00&quot; °&quot;"/>
    </dxf>
    <dxf>
      <numFmt numFmtId="165" formatCode="0&quot; px&quot;"/>
    </dxf>
    <dxf>
      <numFmt numFmtId="165" formatCode="0&quot; px&quot;"/>
    </dxf>
    <dxf>
      <numFmt numFmtId="165" formatCode="0&quot; px&quot;"/>
    </dxf>
    <dxf>
      <numFmt numFmtId="165" formatCode="0&quot; px&quot;"/>
    </dxf>
    <dxf>
      <numFmt numFmtId="167" formatCode="0.00&quot; °&quot;"/>
    </dxf>
    <dxf>
      <numFmt numFmtId="167" formatCode="0.00&quot; °&quot;"/>
    </dxf>
    <dxf>
      <numFmt numFmtId="0" formatCode="General"/>
    </dxf>
    <dxf>
      <numFmt numFmtId="166" formatCode="0.00&quot;°&quot;"/>
    </dxf>
    <dxf>
      <numFmt numFmtId="165" formatCode="0&quot; px&quot;"/>
    </dxf>
    <dxf>
      <numFmt numFmtId="166" formatCode="0.00&quot;°&quot;"/>
    </dxf>
    <dxf>
      <numFmt numFmtId="166" formatCode="0.00&quot;°&quot;"/>
    </dxf>
    <dxf>
      <numFmt numFmtId="165" formatCode="0&quot; px&quot;"/>
    </dxf>
    <dxf>
      <numFmt numFmtId="165" formatCode="0&quot; px&quot;"/>
    </dxf>
    <dxf>
      <numFmt numFmtId="166" formatCode="0.00&quot;°&quot;"/>
    </dxf>
    <dxf>
      <numFmt numFmtId="166" formatCode="0.00&quot;°&quot;"/>
    </dxf>
    <dxf>
      <numFmt numFmtId="165" formatCode="0&quot; px&quot;"/>
    </dxf>
    <dxf>
      <numFmt numFmtId="165" formatCode="0&quot; px&quot;"/>
    </dxf>
    <dxf>
      <font>
        <b/>
        <i val="0"/>
        <color rgb="FFFF0000"/>
      </font>
    </dxf>
  </dxfs>
  <tableStyles count="0" defaultTableStyle="TableStyleMedium9" defaultPivotStyle="PivotStyleLight16"/>
  <colors>
    <mruColors>
      <color rgb="FFF8696B"/>
      <color rgb="FF63BE7B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smoothMarker"/>
        <c:ser>
          <c:idx val="0"/>
          <c:order val="0"/>
          <c:xVal>
            <c:numRef>
              <c:f>'Calculs Rova'!$H$4:$H$19</c:f>
              <c:numCache>
                <c:formatCode>0" px"</c:formatCode>
                <c:ptCount val="16"/>
                <c:pt idx="0">
                  <c:v>708</c:v>
                </c:pt>
                <c:pt idx="2">
                  <c:v>708</c:v>
                </c:pt>
                <c:pt idx="4">
                  <c:v>626</c:v>
                </c:pt>
                <c:pt idx="5">
                  <c:v>633</c:v>
                </c:pt>
                <c:pt idx="6">
                  <c:v>642</c:v>
                </c:pt>
                <c:pt idx="7">
                  <c:v>533</c:v>
                </c:pt>
                <c:pt idx="8">
                  <c:v>333</c:v>
                </c:pt>
                <c:pt idx="9">
                  <c:v>283</c:v>
                </c:pt>
                <c:pt idx="10">
                  <c:v>205</c:v>
                </c:pt>
                <c:pt idx="11">
                  <c:v>197</c:v>
                </c:pt>
                <c:pt idx="12">
                  <c:v>171</c:v>
                </c:pt>
                <c:pt idx="13">
                  <c:v>165</c:v>
                </c:pt>
                <c:pt idx="14">
                  <c:v>205</c:v>
                </c:pt>
                <c:pt idx="15">
                  <c:v>283</c:v>
                </c:pt>
              </c:numCache>
            </c:numRef>
          </c:xVal>
          <c:yVal>
            <c:numRef>
              <c:f>'Calculs Rova'!$M$4:$M$19</c:f>
              <c:numCache>
                <c:formatCode>General</c:formatCode>
                <c:ptCount val="16"/>
                <c:pt idx="0">
                  <c:v>1.0978348910402234</c:v>
                </c:pt>
                <c:pt idx="2">
                  <c:v>1.0560053662690327</c:v>
                </c:pt>
                <c:pt idx="4">
                  <c:v>1.1203582009366222</c:v>
                </c:pt>
                <c:pt idx="5">
                  <c:v>1.0848493484354826</c:v>
                </c:pt>
                <c:pt idx="6">
                  <c:v>1.0490189366506939</c:v>
                </c:pt>
                <c:pt idx="7">
                  <c:v>1.1168247675681888</c:v>
                </c:pt>
                <c:pt idx="8">
                  <c:v>1.1221960499794472</c:v>
                </c:pt>
                <c:pt idx="9">
                  <c:v>1.1254386150162752</c:v>
                </c:pt>
                <c:pt idx="10">
                  <c:v>1.1688523347592887</c:v>
                </c:pt>
                <c:pt idx="11">
                  <c:v>1.1657523727695369</c:v>
                </c:pt>
                <c:pt idx="12">
                  <c:v>1.1902801421972211</c:v>
                </c:pt>
                <c:pt idx="13">
                  <c:v>1.2025608103310024</c:v>
                </c:pt>
                <c:pt idx="14">
                  <c:v>1.1675390175292308</c:v>
                </c:pt>
                <c:pt idx="15">
                  <c:v>1.1254386150162807</c:v>
                </c:pt>
              </c:numCache>
            </c:numRef>
          </c:yVal>
          <c:smooth val="1"/>
        </c:ser>
        <c:axId val="132376832"/>
        <c:axId val="154820608"/>
      </c:scatterChart>
      <c:valAx>
        <c:axId val="132376832"/>
        <c:scaling>
          <c:orientation val="minMax"/>
        </c:scaling>
        <c:axPos val="b"/>
        <c:numFmt formatCode="0&quot; px&quot;" sourceLinked="1"/>
        <c:tickLblPos val="nextTo"/>
        <c:crossAx val="154820608"/>
        <c:crosses val="autoZero"/>
        <c:crossBetween val="midCat"/>
      </c:valAx>
      <c:valAx>
        <c:axId val="154820608"/>
        <c:scaling>
          <c:orientation val="minMax"/>
        </c:scaling>
        <c:axPos val="l"/>
        <c:majorGridlines/>
        <c:numFmt formatCode="General" sourceLinked="1"/>
        <c:tickLblPos val="nextTo"/>
        <c:crossAx val="1323768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</xdr:colOff>
      <xdr:row>9</xdr:row>
      <xdr:rowOff>76200</xdr:rowOff>
    </xdr:from>
    <xdr:to>
      <xdr:col>19</xdr:col>
      <xdr:colOff>704850</xdr:colOff>
      <xdr:row>23</xdr:row>
      <xdr:rowOff>152400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A3:M23" totalsRowShown="0">
  <autoFilter ref="A3:M23">
    <filterColumn colId="0"/>
    <filterColumn colId="2"/>
    <filterColumn colId="4"/>
    <filterColumn colId="6"/>
    <filterColumn colId="8"/>
    <filterColumn colId="9"/>
    <filterColumn colId="10"/>
    <filterColumn colId="11"/>
    <filterColumn colId="12"/>
  </autoFilter>
  <sortState ref="A4:M23">
    <sortCondition ref="D3:D23"/>
  </sortState>
  <tableColumns count="13">
    <tableColumn id="11" name="Nom"/>
    <tableColumn id="1" name="x" dataDxfId="24"/>
    <tableColumn id="14" name="Colonne1" dataDxfId="23"/>
    <tableColumn id="2" name="direction" dataDxfId="22"/>
    <tableColumn id="9" name="angle théoriq." dataDxfId="21">
      <calculatedColumnFormula>Tableau1[[#This Row],[pos.]]*angle/2</calculatedColumnFormula>
    </tableColumn>
    <tableColumn id="3" name="dx" dataDxfId="20">
      <calculatedColumnFormula>B4-960</calculatedColumnFormula>
    </tableColumn>
    <tableColumn id="8" name="pos." dataCellStyle="Pourcentage">
      <calculatedColumnFormula>Tableau1[[#This Row],[dx]]/960</calculatedColumnFormula>
    </tableColumn>
    <tableColumn id="4" name="abs(dx)" dataDxfId="19">
      <calculatedColumnFormula>ABS(F4)</calculatedColumnFormula>
    </tableColumn>
    <tableColumn id="5" name="d. dir." dataDxfId="18">
      <calculatedColumnFormula>Tableau1[[#This Row],[direction]]-centre_direction</calculatedColumnFormula>
    </tableColumn>
    <tableColumn id="12" name="abs(ddir)" dataDxfId="17">
      <calculatedColumnFormula>ABS(Tableau1[[#This Row],[d. dir.]])</calculatedColumnFormula>
    </tableColumn>
    <tableColumn id="6" name="dpx / d°" dataDxfId="16">
      <calculatedColumnFormula>Tableau1[[#This Row],[dx]]/Tableau1[[#This Row],[d. dir.]]</calculatedColumnFormula>
    </tableColumn>
    <tableColumn id="7" name="d° / dpx %" dataDxfId="15">
      <calculatedColumnFormula>Tableau1[[#This Row],[d. dir.]]/Tableau1[[#This Row],[dx]]*100</calculatedColumnFormula>
    </tableColumn>
    <tableColumn id="10" name="correction angulaire" dataDxfId="14">
      <calculatedColumnFormula>Tableau1[[#This Row],[d. dir.]]/Tableau1[[#This Row],[angle théoriq.]]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3:N40" totalsRowCount="1">
  <autoFilter ref="B3:N39">
    <filterColumn colId="0">
      <filters>
        <filter val="Coucher de soleil sur Romillé.JPG"/>
      </filters>
    </filterColumn>
    <filterColumn colId="1"/>
    <filterColumn colId="8"/>
    <filterColumn colId="9"/>
    <filterColumn colId="12"/>
  </autoFilter>
  <tableColumns count="13">
    <tableColumn id="1" name="Photo" totalsRowLabel="Total"/>
    <tableColumn id="13" name="Nom"/>
    <tableColumn id="2" name="α" dataDxfId="13">
      <calculatedColumnFormula>DEGREES(ATAN(Tableau2[[#This Row],[l]]*ρE))</calculatedColumnFormula>
    </tableColumn>
    <tableColumn id="3" name="dir" dataDxfId="12"/>
    <tableColumn id="4" name="x" dataDxfId="11"/>
    <tableColumn id="5" name="y" dataDxfId="10"/>
    <tableColumn id="6" name="width" dataDxfId="9">
      <calculatedColumnFormula>w</calculatedColumnFormula>
    </tableColumn>
    <tableColumn id="7" name="height" dataDxfId="8"/>
    <tableColumn id="11" name="dirC" totalsRowFunction="average" dataDxfId="7" totalsRowDxfId="2">
      <calculatedColumnFormula>Tableau2[[#This Row],[dir]]-Tableau2[[#This Row],[α]]</calculatedColumnFormula>
    </tableColumn>
    <tableColumn id="14" name="éc. type dir" totalsRowFunction="custom" dataDxfId="6" totalsRowDxfId="1">
      <calculatedColumnFormula>Tableau2[[#This Row],[dirC]]-Tableau2[[#Totals],[dirC]]</calculatedColumnFormula>
      <totalsRowFormula>SUBTOTAL(107,[dirC])</totalsRowFormula>
    </tableColumn>
    <tableColumn id="8" name="dx" dataDxfId="5">
      <calculatedColumnFormula>Tableau2[[#This Row],[x]]-Tableau2[[#This Row],[width]]/2</calculatedColumnFormula>
    </tableColumn>
    <tableColumn id="9" name="dy" dataDxfId="4">
      <calculatedColumnFormula>Tableau2[[#This Row],[y]]-Tableau2[[#This Row],[height]]/2</calculatedColumnFormula>
    </tableColumn>
    <tableColumn id="10" name="l" dataDxfId="3" totalsRowDxfId="0">
      <calculatedColumnFormula>Tableau2[[#This Row],[dx]]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6"/>
  <sheetViews>
    <sheetView workbookViewId="0">
      <selection activeCell="E4" sqref="E4"/>
    </sheetView>
  </sheetViews>
  <sheetFormatPr baseColWidth="10" defaultRowHeight="15"/>
  <cols>
    <col min="2" max="2" width="15.7109375" bestFit="1" customWidth="1"/>
    <col min="4" max="4" width="5.5703125" customWidth="1"/>
    <col min="5" max="5" width="9" customWidth="1"/>
    <col min="6" max="6" width="4.28515625" customWidth="1"/>
    <col min="7" max="7" width="15.42578125" customWidth="1"/>
    <col min="8" max="8" width="7" customWidth="1"/>
    <col min="9" max="9" width="4.85546875" customWidth="1"/>
    <col min="10" max="10" width="8.7109375" customWidth="1"/>
  </cols>
  <sheetData>
    <row r="2" spans="2:11">
      <c r="B2" t="s">
        <v>0</v>
      </c>
      <c r="C2" s="4">
        <v>6.17</v>
      </c>
    </row>
    <row r="3" spans="2:11">
      <c r="B3" s="5" t="s">
        <v>1</v>
      </c>
      <c r="C3" s="7">
        <v>4.3</v>
      </c>
      <c r="D3" s="5" t="s">
        <v>5</v>
      </c>
      <c r="E3" s="5"/>
      <c r="F3" s="5"/>
      <c r="G3" s="5"/>
      <c r="H3" s="5"/>
      <c r="I3" s="5"/>
      <c r="J3" s="5"/>
      <c r="K3" s="5"/>
    </row>
    <row r="4" spans="2:11">
      <c r="B4" t="s">
        <v>4</v>
      </c>
      <c r="C4" s="4">
        <v>1920</v>
      </c>
      <c r="D4" t="s">
        <v>6</v>
      </c>
      <c r="E4" s="2">
        <f>DEGREES(2*ATAN(ccd/(2*f)))</f>
        <v>71.314480950360249</v>
      </c>
      <c r="F4" t="s">
        <v>9</v>
      </c>
      <c r="G4" t="s">
        <v>22</v>
      </c>
      <c r="H4" s="8">
        <f>tMax/angle</f>
        <v>26.923003216365707</v>
      </c>
      <c r="I4" t="s">
        <v>23</v>
      </c>
      <c r="J4" s="1">
        <f>angle/tMax</f>
        <v>3.7142958828312631E-2</v>
      </c>
      <c r="K4" t="s">
        <v>24</v>
      </c>
    </row>
    <row r="5" spans="2:11">
      <c r="B5" t="s">
        <v>10</v>
      </c>
      <c r="C5" s="4">
        <v>252</v>
      </c>
      <c r="D5" t="s">
        <v>6</v>
      </c>
      <c r="E5" s="2">
        <f>tTém/tMax*angle</f>
        <v>9.3600256247347833</v>
      </c>
      <c r="F5" t="s">
        <v>9</v>
      </c>
      <c r="G5" t="s">
        <v>11</v>
      </c>
      <c r="H5" s="3">
        <v>5</v>
      </c>
      <c r="I5" t="s">
        <v>6</v>
      </c>
      <c r="J5" s="2">
        <f>e/tMax*angle</f>
        <v>0.18571479414156314</v>
      </c>
      <c r="K5" t="s">
        <v>9</v>
      </c>
    </row>
    <row r="6" spans="2:11">
      <c r="B6" t="s">
        <v>8</v>
      </c>
      <c r="C6" s="4">
        <v>1.6</v>
      </c>
      <c r="D6" t="s">
        <v>7</v>
      </c>
      <c r="E6" s="2"/>
      <c r="G6" t="s">
        <v>12</v>
      </c>
      <c r="H6" s="1">
        <f>tRTém/TAN(RADIANS((E5-J5)/2))</f>
        <v>19.942052842917739</v>
      </c>
      <c r="I6" t="s">
        <v>7</v>
      </c>
    </row>
    <row r="7" spans="2:11">
      <c r="B7" s="5" t="s">
        <v>2</v>
      </c>
      <c r="C7" s="6">
        <f>tRTém/TAN(RADIANS(E5/2))</f>
        <v>19.544664135323824</v>
      </c>
      <c r="D7" s="5" t="s">
        <v>7</v>
      </c>
      <c r="E7" s="5"/>
      <c r="F7" s="5"/>
      <c r="G7" s="5" t="s">
        <v>13</v>
      </c>
      <c r="H7" s="6">
        <f>tRTém/TAN(RADIANS((E5+J5)/2))</f>
        <v>19.162704300925121</v>
      </c>
      <c r="I7" s="5" t="s">
        <v>7</v>
      </c>
      <c r="J7" s="5"/>
      <c r="K7" s="5"/>
    </row>
    <row r="8" spans="2:11">
      <c r="B8" t="s">
        <v>3</v>
      </c>
      <c r="C8" s="4">
        <v>1360</v>
      </c>
      <c r="D8" t="s">
        <v>6</v>
      </c>
      <c r="E8" s="2">
        <f>t/tMax*angle</f>
        <v>50.51442400650518</v>
      </c>
      <c r="F8" t="s">
        <v>9</v>
      </c>
      <c r="G8" t="s">
        <v>14</v>
      </c>
      <c r="H8" s="1">
        <f>d*TAN(RADIANS(J8/2))</f>
        <v>9.1821734177757897</v>
      </c>
      <c r="I8" t="s">
        <v>7</v>
      </c>
      <c r="J8" s="2">
        <f>(t-e)/tMax*angle</f>
        <v>50.328709212363613</v>
      </c>
      <c r="K8" t="s">
        <v>9</v>
      </c>
    </row>
    <row r="9" spans="2:11">
      <c r="B9" t="s">
        <v>8</v>
      </c>
      <c r="C9" s="1">
        <f>d*TAN(RADIANS(E8/2))</f>
        <v>9.2208695922747506</v>
      </c>
      <c r="D9" t="s">
        <v>7</v>
      </c>
      <c r="G9" t="s">
        <v>15</v>
      </c>
      <c r="H9" s="1">
        <f>d*TAN(RADIANS(J9/2))</f>
        <v>9.2596249867380465</v>
      </c>
      <c r="I9" t="s">
        <v>7</v>
      </c>
      <c r="J9" s="2">
        <f>(t+e)/tMax*angle</f>
        <v>50.700138800646741</v>
      </c>
      <c r="K9" t="s">
        <v>9</v>
      </c>
    </row>
    <row r="15" spans="2:11">
      <c r="B15" t="s">
        <v>17</v>
      </c>
      <c r="C15" s="3">
        <v>273</v>
      </c>
      <c r="D15" t="s">
        <v>9</v>
      </c>
      <c r="E15" t="s">
        <v>18</v>
      </c>
    </row>
    <row r="16" spans="2:11">
      <c r="B16" t="s">
        <v>19</v>
      </c>
      <c r="C16" s="3">
        <v>252</v>
      </c>
      <c r="D16" t="s">
        <v>6</v>
      </c>
      <c r="E16" s="2">
        <f>C16/tMax*angle</f>
        <v>9.3600256247347833</v>
      </c>
      <c r="F16" t="s">
        <v>9</v>
      </c>
    </row>
    <row r="17" spans="2:7">
      <c r="B17" t="s">
        <v>20</v>
      </c>
      <c r="C17" s="2">
        <f>C15-E16</f>
        <v>263.63997437526524</v>
      </c>
      <c r="D17" t="s">
        <v>9</v>
      </c>
      <c r="E17" s="2"/>
    </row>
    <row r="18" spans="2:7">
      <c r="B18" t="s">
        <v>21</v>
      </c>
      <c r="C18" s="2">
        <f>a0+angle</f>
        <v>334.95445532562547</v>
      </c>
      <c r="D18" t="s">
        <v>9</v>
      </c>
      <c r="E18" s="2"/>
    </row>
    <row r="19" spans="2:7">
      <c r="B19" t="s">
        <v>16</v>
      </c>
      <c r="C19" s="3">
        <v>314.2</v>
      </c>
      <c r="D19" t="s">
        <v>9</v>
      </c>
      <c r="E19" s="8">
        <f>(C19-a0)*conv_deg_px</f>
        <v>1361.2277325142661</v>
      </c>
      <c r="F19" t="s">
        <v>6</v>
      </c>
      <c r="G19" s="8" t="str">
        <f>CONCATENATE("Déborde de ",ROUND(E19-tMax,0)," px")</f>
        <v>Déborde de -559 px</v>
      </c>
    </row>
    <row r="24" spans="2:7">
      <c r="G24">
        <v>270</v>
      </c>
    </row>
    <row r="25" spans="2:7">
      <c r="F25">
        <v>360</v>
      </c>
      <c r="G25">
        <f>MOD(G24,360)</f>
        <v>270</v>
      </c>
    </row>
    <row r="26" spans="2:7">
      <c r="F26">
        <v>180</v>
      </c>
      <c r="G26">
        <f>IF(G25&gt;=180,G25-360,G25)</f>
        <v>-90</v>
      </c>
    </row>
  </sheetData>
  <conditionalFormatting sqref="E19">
    <cfRule type="expression" dxfId="25" priority="1">
      <formula>E19&gt;$C$4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R23"/>
  <sheetViews>
    <sheetView workbookViewId="0">
      <selection activeCell="D21" sqref="D21:D23"/>
    </sheetView>
  </sheetViews>
  <sheetFormatPr baseColWidth="10" defaultRowHeight="15"/>
  <cols>
    <col min="7" max="7" width="5.7109375" customWidth="1"/>
    <col min="8" max="8" width="7.42578125" customWidth="1"/>
    <col min="10" max="10" width="6.28515625" customWidth="1"/>
    <col min="15" max="15" width="13" customWidth="1"/>
  </cols>
  <sheetData>
    <row r="2" spans="1:18">
      <c r="B2" s="21"/>
      <c r="C2" s="21"/>
      <c r="D2" s="21"/>
    </row>
    <row r="3" spans="1:18">
      <c r="A3" t="s">
        <v>37</v>
      </c>
      <c r="B3" t="s">
        <v>25</v>
      </c>
      <c r="C3" t="s">
        <v>75</v>
      </c>
      <c r="D3" t="s">
        <v>26</v>
      </c>
      <c r="E3" t="s">
        <v>34</v>
      </c>
      <c r="F3" t="s">
        <v>27</v>
      </c>
      <c r="G3" t="s">
        <v>33</v>
      </c>
      <c r="H3" t="s">
        <v>28</v>
      </c>
      <c r="I3" t="s">
        <v>30</v>
      </c>
      <c r="J3" t="s">
        <v>40</v>
      </c>
      <c r="K3" t="s">
        <v>31</v>
      </c>
      <c r="L3" t="s">
        <v>32</v>
      </c>
      <c r="M3" t="s">
        <v>36</v>
      </c>
      <c r="O3" t="s">
        <v>29</v>
      </c>
      <c r="P3">
        <v>300.77</v>
      </c>
      <c r="Q3" t="s">
        <v>9</v>
      </c>
      <c r="R3" t="s">
        <v>48</v>
      </c>
    </row>
    <row r="4" spans="1:18">
      <c r="A4" s="17" t="s">
        <v>44</v>
      </c>
      <c r="B4" s="13">
        <v>252</v>
      </c>
      <c r="C4" s="13"/>
      <c r="D4" s="14">
        <v>271.89999999999998</v>
      </c>
      <c r="E4" s="14">
        <f>Tableau1[[#This Row],[pos.]]*angle/2</f>
        <v>-26.297214850445343</v>
      </c>
      <c r="F4" s="13">
        <f>B4-960</f>
        <v>-708</v>
      </c>
      <c r="G4" s="15">
        <f>Tableau1[[#This Row],[dx]]/960</f>
        <v>-0.73750000000000004</v>
      </c>
      <c r="H4" s="13">
        <f>ABS(F4)</f>
        <v>708</v>
      </c>
      <c r="I4" s="14">
        <f>Tableau1[[#This Row],[direction]]-centre_direction</f>
        <v>-28.870000000000005</v>
      </c>
      <c r="J4" s="14">
        <f>ABS(Tableau1[[#This Row],[d. dir.]])</f>
        <v>28.870000000000005</v>
      </c>
      <c r="K4" s="13">
        <f>Tableau1[[#This Row],[dx]]/Tableau1[[#This Row],[d. dir.]]</f>
        <v>24.523727052303425</v>
      </c>
      <c r="L4" s="14">
        <f>Tableau1[[#This Row],[d. dir.]]/Tableau1[[#This Row],[dx]]*100</f>
        <v>4.0776836158192094</v>
      </c>
      <c r="M4" s="16">
        <f>Tableau1[[#This Row],[d. dir.]]/Tableau1[[#This Row],[angle théoriq.]]</f>
        <v>1.0978348910402234</v>
      </c>
      <c r="O4" t="s">
        <v>35</v>
      </c>
      <c r="P4" s="1">
        <f>angle</f>
        <v>71.314480950360249</v>
      </c>
      <c r="Q4" t="s">
        <v>9</v>
      </c>
    </row>
    <row r="5" spans="1:18">
      <c r="A5" s="17" t="s">
        <v>76</v>
      </c>
      <c r="B5" s="13">
        <v>250</v>
      </c>
      <c r="C5" s="13">
        <v>417</v>
      </c>
      <c r="D5" s="14">
        <v>272.71891597241103</v>
      </c>
      <c r="E5" s="14"/>
      <c r="F5" s="13"/>
      <c r="G5" s="15"/>
      <c r="H5" s="13"/>
      <c r="I5" s="14"/>
      <c r="J5" s="14"/>
      <c r="K5" s="13"/>
      <c r="L5" s="14"/>
      <c r="M5" s="16"/>
    </row>
    <row r="6" spans="1:18">
      <c r="B6" s="9">
        <v>252</v>
      </c>
      <c r="C6" s="9"/>
      <c r="D6" s="10">
        <v>273</v>
      </c>
      <c r="E6" s="10">
        <f>Tableau1[[#This Row],[pos.]]*angle/2</f>
        <v>-26.297214850445343</v>
      </c>
      <c r="F6" s="9">
        <f>B6-960</f>
        <v>-708</v>
      </c>
      <c r="G6" s="11">
        <f>Tableau1[[#This Row],[dx]]/960</f>
        <v>-0.73750000000000004</v>
      </c>
      <c r="H6" s="9">
        <f>ABS(F6)</f>
        <v>708</v>
      </c>
      <c r="I6" s="10">
        <f>Tableau1[[#This Row],[direction]]-centre_direction</f>
        <v>-27.769999999999982</v>
      </c>
      <c r="J6" s="10">
        <f>ABS(Tableau1[[#This Row],[d. dir.]])</f>
        <v>27.769999999999982</v>
      </c>
      <c r="K6" s="9">
        <f>Tableau1[[#This Row],[dx]]/Tableau1[[#This Row],[d. dir.]]</f>
        <v>25.495138638818887</v>
      </c>
      <c r="L6" s="10">
        <f>Tableau1[[#This Row],[d. dir.]]/Tableau1[[#This Row],[dx]]*100</f>
        <v>3.9223163841807884</v>
      </c>
      <c r="M6" s="12">
        <f>Tableau1[[#This Row],[d. dir.]]/Tableau1[[#This Row],[angle théoriq.]]</f>
        <v>1.0560053662690327</v>
      </c>
    </row>
    <row r="7" spans="1:18">
      <c r="A7" s="17" t="s">
        <v>77</v>
      </c>
      <c r="B7" s="9">
        <v>250</v>
      </c>
      <c r="C7" s="9">
        <v>382</v>
      </c>
      <c r="D7" s="10">
        <v>273.20320836215097</v>
      </c>
      <c r="E7" s="10"/>
      <c r="F7" s="9"/>
      <c r="G7" s="11"/>
      <c r="H7" s="9"/>
      <c r="I7" s="10"/>
      <c r="J7" s="10"/>
      <c r="K7" s="9"/>
      <c r="L7" s="10"/>
      <c r="M7" s="12"/>
    </row>
    <row r="8" spans="1:18">
      <c r="A8" s="17" t="s">
        <v>45</v>
      </c>
      <c r="B8" s="13">
        <v>334</v>
      </c>
      <c r="C8" s="13"/>
      <c r="D8" s="14">
        <v>274.72000000000003</v>
      </c>
      <c r="E8" s="14">
        <f>Tableau1[[#This Row],[pos.]]*angle/2</f>
        <v>-23.251492226523705</v>
      </c>
      <c r="F8" s="13">
        <f t="shared" ref="F8:F23" si="0">B8-960</f>
        <v>-626</v>
      </c>
      <c r="G8" s="15">
        <f>Tableau1[[#This Row],[dx]]/960</f>
        <v>-0.65208333333333335</v>
      </c>
      <c r="H8" s="13">
        <f t="shared" ref="H8:H23" si="1">ABS(F8)</f>
        <v>626</v>
      </c>
      <c r="I8" s="14">
        <f>Tableau1[[#This Row],[direction]]-centre_direction</f>
        <v>-26.049999999999955</v>
      </c>
      <c r="J8" s="14">
        <f>ABS(Tableau1[[#This Row],[d. dir.]])</f>
        <v>26.049999999999955</v>
      </c>
      <c r="K8" s="13">
        <f>Tableau1[[#This Row],[dx]]/Tableau1[[#This Row],[d. dir.]]</f>
        <v>24.030710172744765</v>
      </c>
      <c r="L8" s="14">
        <f>Tableau1[[#This Row],[d. dir.]]/Tableau1[[#This Row],[dx]]*100</f>
        <v>4.1613418530351369</v>
      </c>
      <c r="M8" s="16">
        <f>Tableau1[[#This Row],[d. dir.]]/Tableau1[[#This Row],[angle théoriq.]]</f>
        <v>1.1203582009366222</v>
      </c>
    </row>
    <row r="9" spans="1:18">
      <c r="A9" s="17" t="s">
        <v>78</v>
      </c>
      <c r="B9" s="13">
        <v>327</v>
      </c>
      <c r="C9" s="13">
        <v>415</v>
      </c>
      <c r="D9" s="14">
        <v>275.26357220511602</v>
      </c>
      <c r="E9" s="14">
        <f>Tableau1[[#This Row],[pos.]]*angle/2</f>
        <v>-23.511492938321897</v>
      </c>
      <c r="F9" s="13">
        <f t="shared" si="0"/>
        <v>-633</v>
      </c>
      <c r="G9" s="15">
        <f>Tableau1[[#This Row],[dx]]/960</f>
        <v>-0.65937500000000004</v>
      </c>
      <c r="H9" s="13">
        <f t="shared" si="1"/>
        <v>633</v>
      </c>
      <c r="I9" s="14">
        <f>Tableau1[[#This Row],[direction]]-centre_direction</f>
        <v>-25.506427794883962</v>
      </c>
      <c r="J9" s="14">
        <f>ABS(Tableau1[[#This Row],[d. dir.]])</f>
        <v>25.506427794883962</v>
      </c>
      <c r="K9" s="13">
        <f>Tableau1[[#This Row],[dx]]/Tableau1[[#This Row],[d. dir.]]</f>
        <v>24.817273711960798</v>
      </c>
      <c r="L9" s="14">
        <f>Tableau1[[#This Row],[d. dir.]]/Tableau1[[#This Row],[dx]]*100</f>
        <v>4.0294514683860916</v>
      </c>
      <c r="M9" s="16">
        <f>Tableau1[[#This Row],[d. dir.]]/Tableau1[[#This Row],[angle théoriq.]]</f>
        <v>1.0848493484354826</v>
      </c>
    </row>
    <row r="10" spans="1:18">
      <c r="A10" s="17" t="s">
        <v>79</v>
      </c>
      <c r="B10" s="13">
        <v>318</v>
      </c>
      <c r="C10" s="13">
        <v>384</v>
      </c>
      <c r="D10" s="14">
        <v>275.75532567420402</v>
      </c>
      <c r="E10" s="14">
        <f>Tableau1[[#This Row],[pos.]]*angle/2</f>
        <v>-23.845779567776706</v>
      </c>
      <c r="F10" s="13">
        <f t="shared" si="0"/>
        <v>-642</v>
      </c>
      <c r="G10" s="15">
        <f>Tableau1[[#This Row],[dx]]/960</f>
        <v>-0.66874999999999996</v>
      </c>
      <c r="H10" s="13">
        <f t="shared" si="1"/>
        <v>642</v>
      </c>
      <c r="I10" s="14">
        <f>Tableau1[[#This Row],[direction]]-centre_direction</f>
        <v>-25.014674325795966</v>
      </c>
      <c r="J10" s="14">
        <f>ABS(Tableau1[[#This Row],[d. dir.]])</f>
        <v>25.014674325795966</v>
      </c>
      <c r="K10" s="13">
        <f>Tableau1[[#This Row],[dx]]/Tableau1[[#This Row],[d. dir.]]</f>
        <v>25.664935375070954</v>
      </c>
      <c r="L10" s="14">
        <f>Tableau1[[#This Row],[d. dir.]]/Tableau1[[#This Row],[dx]]*100</f>
        <v>3.8963667174137018</v>
      </c>
      <c r="M10" s="16">
        <f>Tableau1[[#This Row],[d. dir.]]/Tableau1[[#This Row],[angle théoriq.]]</f>
        <v>1.0490189366506939</v>
      </c>
    </row>
    <row r="11" spans="1:18">
      <c r="A11" t="s">
        <v>38</v>
      </c>
      <c r="B11" s="13">
        <v>427</v>
      </c>
      <c r="C11" s="13"/>
      <c r="D11" s="14">
        <v>278.66000000000003</v>
      </c>
      <c r="E11" s="14">
        <f>Tableau1[[#This Row],[pos.]]*angle/2</f>
        <v>-19.797197055490631</v>
      </c>
      <c r="F11" s="13">
        <f t="shared" si="0"/>
        <v>-533</v>
      </c>
      <c r="G11" s="15">
        <f>Tableau1[[#This Row],[dx]]/960</f>
        <v>-0.5552083333333333</v>
      </c>
      <c r="H11" s="13">
        <f t="shared" si="1"/>
        <v>533</v>
      </c>
      <c r="I11" s="14">
        <f>Tableau1[[#This Row],[direction]]-centre_direction</f>
        <v>-22.109999999999957</v>
      </c>
      <c r="J11" s="14">
        <f>ABS(Tableau1[[#This Row],[d. dir.]])</f>
        <v>22.109999999999957</v>
      </c>
      <c r="K11" s="13">
        <f>Tableau1[[#This Row],[dx]]/Tableau1[[#This Row],[d. dir.]]</f>
        <v>24.106739032112213</v>
      </c>
      <c r="L11" s="14">
        <f>Tableau1[[#This Row],[d. dir.]]/Tableau1[[#This Row],[dx]]*100</f>
        <v>4.1482176360225065</v>
      </c>
      <c r="M11" s="16">
        <f>Tableau1[[#This Row],[d. dir.]]/Tableau1[[#This Row],[angle théoriq.]]</f>
        <v>1.1168247675681888</v>
      </c>
    </row>
    <row r="12" spans="1:18">
      <c r="B12" s="9">
        <v>627</v>
      </c>
      <c r="C12" s="9"/>
      <c r="D12" s="10">
        <v>286.89</v>
      </c>
      <c r="E12" s="10">
        <f>Tableau1[[#This Row],[pos.]]*angle/2</f>
        <v>-12.368605289828105</v>
      </c>
      <c r="F12" s="9">
        <f t="shared" si="0"/>
        <v>-333</v>
      </c>
      <c r="G12" s="11">
        <f>Tableau1[[#This Row],[dx]]/960</f>
        <v>-0.34687499999999999</v>
      </c>
      <c r="H12" s="9">
        <f t="shared" si="1"/>
        <v>333</v>
      </c>
      <c r="I12" s="10">
        <f>Tableau1[[#This Row],[direction]]-centre_direction</f>
        <v>-13.879999999999995</v>
      </c>
      <c r="J12" s="10">
        <f>ABS(Tableau1[[#This Row],[d. dir.]])</f>
        <v>13.879999999999995</v>
      </c>
      <c r="K12" s="9">
        <f>Tableau1[[#This Row],[dx]]/Tableau1[[#This Row],[d. dir.]]</f>
        <v>23.991354466858798</v>
      </c>
      <c r="L12" s="10">
        <f>Tableau1[[#This Row],[d. dir.]]/Tableau1[[#This Row],[dx]]*100</f>
        <v>4.168168168168167</v>
      </c>
      <c r="M12" s="12">
        <f>Tableau1[[#This Row],[d. dir.]]/Tableau1[[#This Row],[angle théoriq.]]</f>
        <v>1.1221960499794472</v>
      </c>
    </row>
    <row r="13" spans="1:18">
      <c r="A13" t="s">
        <v>39</v>
      </c>
      <c r="B13" s="13">
        <v>677</v>
      </c>
      <c r="C13" s="13"/>
      <c r="D13" s="14">
        <v>288.94</v>
      </c>
      <c r="E13" s="14">
        <f>Tableau1[[#This Row],[pos.]]*angle/2</f>
        <v>-10.511457348412474</v>
      </c>
      <c r="F13" s="13">
        <f t="shared" si="0"/>
        <v>-283</v>
      </c>
      <c r="G13" s="15">
        <f>Tableau1[[#This Row],[dx]]/960</f>
        <v>-0.29479166666666667</v>
      </c>
      <c r="H13" s="13">
        <f t="shared" si="1"/>
        <v>283</v>
      </c>
      <c r="I13" s="14">
        <f>Tableau1[[#This Row],[direction]]-centre_direction</f>
        <v>-11.829999999999984</v>
      </c>
      <c r="J13" s="14">
        <f>ABS(Tableau1[[#This Row],[d. dir.]])</f>
        <v>11.829999999999984</v>
      </c>
      <c r="K13" s="13">
        <f>Tableau1[[#This Row],[dx]]/Tableau1[[#This Row],[d. dir.]]</f>
        <v>23.922231614539339</v>
      </c>
      <c r="L13" s="14">
        <f>Tableau1[[#This Row],[d. dir.]]/Tableau1[[#This Row],[dx]]*100</f>
        <v>4.1802120141342698</v>
      </c>
      <c r="M13" s="16">
        <f>Tableau1[[#This Row],[d. dir.]]/Tableau1[[#This Row],[angle théoriq.]]</f>
        <v>1.1254386150162752</v>
      </c>
    </row>
    <row r="14" spans="1:18">
      <c r="B14" s="9">
        <v>755</v>
      </c>
      <c r="C14" s="9"/>
      <c r="D14" s="10">
        <v>291.87</v>
      </c>
      <c r="E14" s="10">
        <f>Tableau1[[#This Row],[pos.]]*angle/2</f>
        <v>-7.6143065598040884</v>
      </c>
      <c r="F14" s="9">
        <f t="shared" si="0"/>
        <v>-205</v>
      </c>
      <c r="G14" s="11">
        <f>Tableau1[[#This Row],[dx]]/960</f>
        <v>-0.21354166666666666</v>
      </c>
      <c r="H14" s="9">
        <f t="shared" si="1"/>
        <v>205</v>
      </c>
      <c r="I14" s="10">
        <f>Tableau1[[#This Row],[direction]]-centre_direction</f>
        <v>-8.8999999999999773</v>
      </c>
      <c r="J14" s="10">
        <f>ABS(Tableau1[[#This Row],[d. dir.]])</f>
        <v>8.8999999999999773</v>
      </c>
      <c r="K14" s="9">
        <f>Tableau1[[#This Row],[dx]]/Tableau1[[#This Row],[d. dir.]]</f>
        <v>23.033707865168598</v>
      </c>
      <c r="L14" s="10">
        <f>Tableau1[[#This Row],[d. dir.]]/Tableau1[[#This Row],[dx]]*100</f>
        <v>4.3414634146341351</v>
      </c>
      <c r="M14" s="12">
        <f>Tableau1[[#This Row],[d. dir.]]/Tableau1[[#This Row],[angle théoriq.]]</f>
        <v>1.1688523347592887</v>
      </c>
    </row>
    <row r="15" spans="1:18">
      <c r="A15" s="18" t="s">
        <v>46</v>
      </c>
      <c r="B15" s="13">
        <v>763</v>
      </c>
      <c r="C15" s="13"/>
      <c r="D15" s="14">
        <v>292.24</v>
      </c>
      <c r="E15" s="14">
        <f>Tableau1[[#This Row],[pos.]]*angle/2</f>
        <v>-7.3171628891775882</v>
      </c>
      <c r="F15" s="13">
        <f t="shared" si="0"/>
        <v>-197</v>
      </c>
      <c r="G15" s="15">
        <f>Tableau1[[#This Row],[dx]]/960</f>
        <v>-0.20520833333333333</v>
      </c>
      <c r="H15" s="13">
        <f t="shared" si="1"/>
        <v>197</v>
      </c>
      <c r="I15" s="14">
        <f>Tableau1[[#This Row],[direction]]-centre_direction</f>
        <v>-8.5299999999999727</v>
      </c>
      <c r="J15" s="14">
        <f>ABS(Tableau1[[#This Row],[d. dir.]])</f>
        <v>8.5299999999999727</v>
      </c>
      <c r="K15" s="13">
        <f>Tableau1[[#This Row],[dx]]/Tableau1[[#This Row],[d. dir.]]</f>
        <v>23.094958968347086</v>
      </c>
      <c r="L15" s="14">
        <f>Tableau1[[#This Row],[d. dir.]]/Tableau1[[#This Row],[dx]]*100</f>
        <v>4.3299492385786662</v>
      </c>
      <c r="M15" s="16">
        <f>Tableau1[[#This Row],[d. dir.]]/Tableau1[[#This Row],[angle théoriq.]]</f>
        <v>1.1657523727695369</v>
      </c>
    </row>
    <row r="16" spans="1:18">
      <c r="A16" s="18" t="s">
        <v>47</v>
      </c>
      <c r="B16" s="13">
        <v>789</v>
      </c>
      <c r="C16" s="13"/>
      <c r="D16" s="14">
        <v>293.20999999999998</v>
      </c>
      <c r="E16" s="14">
        <f>Tableau1[[#This Row],[pos.]]*angle/2</f>
        <v>-6.3514459596414596</v>
      </c>
      <c r="F16" s="13">
        <f t="shared" si="0"/>
        <v>-171</v>
      </c>
      <c r="G16" s="15">
        <f>Tableau1[[#This Row],[dx]]/960</f>
        <v>-0.17812500000000001</v>
      </c>
      <c r="H16" s="13">
        <f t="shared" si="1"/>
        <v>171</v>
      </c>
      <c r="I16" s="14">
        <f>Tableau1[[#This Row],[direction]]-centre_direction</f>
        <v>-7.5600000000000023</v>
      </c>
      <c r="J16" s="14">
        <f>ABS(Tableau1[[#This Row],[d. dir.]])</f>
        <v>7.5600000000000023</v>
      </c>
      <c r="K16" s="13">
        <f>Tableau1[[#This Row],[dx]]/Tableau1[[#This Row],[d. dir.]]</f>
        <v>22.619047619047613</v>
      </c>
      <c r="L16" s="14">
        <f>Tableau1[[#This Row],[d. dir.]]/Tableau1[[#This Row],[dx]]*100</f>
        <v>4.4210526315789487</v>
      </c>
      <c r="M16" s="16">
        <f>Tableau1[[#This Row],[d. dir.]]/Tableau1[[#This Row],[angle théoriq.]]</f>
        <v>1.1902801421972211</v>
      </c>
    </row>
    <row r="17" spans="1:13">
      <c r="B17" s="9">
        <v>795</v>
      </c>
      <c r="C17" s="9"/>
      <c r="D17" s="10">
        <v>293.39999999999998</v>
      </c>
      <c r="E17" s="10">
        <f>Tableau1[[#This Row],[pos.]]*angle/2</f>
        <v>-6.1285882066715835</v>
      </c>
      <c r="F17" s="9">
        <f t="shared" si="0"/>
        <v>-165</v>
      </c>
      <c r="G17" s="11">
        <f>Tableau1[[#This Row],[dx]]/960</f>
        <v>-0.171875</v>
      </c>
      <c r="H17" s="9">
        <f t="shared" si="1"/>
        <v>165</v>
      </c>
      <c r="I17" s="10">
        <f>Tableau1[[#This Row],[direction]]-centre_direction</f>
        <v>-7.3700000000000045</v>
      </c>
      <c r="J17" s="10">
        <f>ABS(Tableau1[[#This Row],[d. dir.]])</f>
        <v>7.3700000000000045</v>
      </c>
      <c r="K17" s="9">
        <f>Tableau1[[#This Row],[dx]]/Tableau1[[#This Row],[d. dir.]]</f>
        <v>22.388059701492523</v>
      </c>
      <c r="L17" s="10">
        <f>Tableau1[[#This Row],[d. dir.]]/Tableau1[[#This Row],[dx]]*100</f>
        <v>4.4666666666666694</v>
      </c>
      <c r="M17" s="12">
        <f>Tableau1[[#This Row],[d. dir.]]/Tableau1[[#This Row],[angle théoriq.]]</f>
        <v>1.2025608103310024</v>
      </c>
    </row>
    <row r="18" spans="1:13">
      <c r="B18" s="9">
        <v>1165</v>
      </c>
      <c r="C18" s="9"/>
      <c r="D18" s="10">
        <v>309.66000000000003</v>
      </c>
      <c r="E18" s="10">
        <f>Tableau1[[#This Row],[pos.]]*angle/2</f>
        <v>7.6143065598040884</v>
      </c>
      <c r="F18" s="9">
        <f t="shared" si="0"/>
        <v>205</v>
      </c>
      <c r="G18" s="11">
        <f>Tableau1[[#This Row],[dx]]/960</f>
        <v>0.21354166666666666</v>
      </c>
      <c r="H18" s="9">
        <f t="shared" si="1"/>
        <v>205</v>
      </c>
      <c r="I18" s="10">
        <f>Tableau1[[#This Row],[direction]]-centre_direction</f>
        <v>8.8900000000000432</v>
      </c>
      <c r="J18" s="10">
        <f>ABS(Tableau1[[#This Row],[d. dir.]])</f>
        <v>8.8900000000000432</v>
      </c>
      <c r="K18" s="9">
        <f>Tableau1[[#This Row],[dx]]/Tableau1[[#This Row],[d. dir.]]</f>
        <v>23.059617547806411</v>
      </c>
      <c r="L18" s="10">
        <f>Tableau1[[#This Row],[d. dir.]]/Tableau1[[#This Row],[dx]]*100</f>
        <v>4.3365853658536802</v>
      </c>
      <c r="M18" s="12">
        <f>Tableau1[[#This Row],[d. dir.]]/Tableau1[[#This Row],[angle théoriq.]]</f>
        <v>1.1675390175292308</v>
      </c>
    </row>
    <row r="19" spans="1:13">
      <c r="B19" s="9">
        <v>1243</v>
      </c>
      <c r="C19" s="9"/>
      <c r="D19" s="10">
        <v>312.60000000000002</v>
      </c>
      <c r="E19" s="10">
        <f>Tableau1[[#This Row],[pos.]]*angle/2</f>
        <v>10.511457348412474</v>
      </c>
      <c r="F19" s="9">
        <f t="shared" si="0"/>
        <v>283</v>
      </c>
      <c r="G19" s="11">
        <f>Tableau1[[#This Row],[dx]]/960</f>
        <v>0.29479166666666667</v>
      </c>
      <c r="H19" s="9">
        <f t="shared" si="1"/>
        <v>283</v>
      </c>
      <c r="I19" s="10">
        <f>Tableau1[[#This Row],[direction]]-centre_direction</f>
        <v>11.830000000000041</v>
      </c>
      <c r="J19" s="10">
        <f>ABS(Tableau1[[#This Row],[d. dir.]])</f>
        <v>11.830000000000041</v>
      </c>
      <c r="K19" s="9">
        <f>Tableau1[[#This Row],[dx]]/Tableau1[[#This Row],[d. dir.]]</f>
        <v>23.922231614539225</v>
      </c>
      <c r="L19" s="10">
        <f>Tableau1[[#This Row],[d. dir.]]/Tableau1[[#This Row],[dx]]*100</f>
        <v>4.1802120141342902</v>
      </c>
      <c r="M19" s="12">
        <f>Tableau1[[#This Row],[d. dir.]]/Tableau1[[#This Row],[angle théoriq.]]</f>
        <v>1.1254386150162807</v>
      </c>
    </row>
    <row r="20" spans="1:13">
      <c r="B20" s="9">
        <v>1261</v>
      </c>
      <c r="C20" s="9"/>
      <c r="D20" s="10">
        <v>313.38</v>
      </c>
      <c r="E20" s="10">
        <f>Tableau1[[#This Row],[pos.]]*angle/2</f>
        <v>11.180030607322101</v>
      </c>
      <c r="F20" s="9">
        <f t="shared" si="0"/>
        <v>301</v>
      </c>
      <c r="G20" s="11">
        <f>Tableau1[[#This Row],[dx]]/960</f>
        <v>0.31354166666666666</v>
      </c>
      <c r="H20" s="9">
        <f t="shared" si="1"/>
        <v>301</v>
      </c>
      <c r="I20" s="10">
        <f>Tableau1[[#This Row],[direction]]-centre_direction</f>
        <v>12.610000000000014</v>
      </c>
      <c r="J20" s="10">
        <f>ABS(Tableau1[[#This Row],[d. dir.]])</f>
        <v>12.610000000000014</v>
      </c>
      <c r="K20" s="9">
        <f>Tableau1[[#This Row],[dx]]/Tableau1[[#This Row],[d. dir.]]</f>
        <v>23.869944488501165</v>
      </c>
      <c r="L20" s="10">
        <f>Tableau1[[#This Row],[d. dir.]]/Tableau1[[#This Row],[dx]]*100</f>
        <v>4.1893687707641245</v>
      </c>
      <c r="M20" s="12">
        <f>Tableau1[[#This Row],[d. dir.]]/Tableau1[[#This Row],[angle théoriq.]]</f>
        <v>1.1279038888982458</v>
      </c>
    </row>
    <row r="21" spans="1:13">
      <c r="A21" s="17" t="s">
        <v>41</v>
      </c>
      <c r="B21" s="13">
        <v>1625</v>
      </c>
      <c r="C21" s="13"/>
      <c r="D21" s="14">
        <v>327.06</v>
      </c>
      <c r="E21" s="14">
        <f>Tableau1[[#This Row],[pos.]]*angle/2</f>
        <v>24.700067620827902</v>
      </c>
      <c r="F21" s="13">
        <f t="shared" si="0"/>
        <v>665</v>
      </c>
      <c r="G21" s="15">
        <f>Tableau1[[#This Row],[dx]]/960</f>
        <v>0.69270833333333337</v>
      </c>
      <c r="H21" s="13">
        <f t="shared" si="1"/>
        <v>665</v>
      </c>
      <c r="I21" s="14">
        <f>Tableau1[[#This Row],[direction]]-centre_direction</f>
        <v>26.29000000000002</v>
      </c>
      <c r="J21" s="14">
        <f>ABS(Tableau1[[#This Row],[d. dir.]])</f>
        <v>26.29000000000002</v>
      </c>
      <c r="K21" s="13">
        <f>Tableau1[[#This Row],[dx]]/Tableau1[[#This Row],[d. dir.]]</f>
        <v>25.294788893115232</v>
      </c>
      <c r="L21" s="14">
        <f>Tableau1[[#This Row],[d. dir.]]/Tableau1[[#This Row],[dx]]*100</f>
        <v>3.9533834586466199</v>
      </c>
      <c r="M21" s="16">
        <f>Tableau1[[#This Row],[d. dir.]]/Tableau1[[#This Row],[angle théoriq.]]</f>
        <v>1.0643695557266992</v>
      </c>
    </row>
    <row r="22" spans="1:13">
      <c r="A22" s="17" t="s">
        <v>43</v>
      </c>
      <c r="B22" s="13">
        <v>1848</v>
      </c>
      <c r="C22" s="13"/>
      <c r="D22" s="14">
        <v>334.01</v>
      </c>
      <c r="E22" s="14">
        <f>Tableau1[[#This Row],[pos.]]*angle/2</f>
        <v>32.982947439541618</v>
      </c>
      <c r="F22" s="13">
        <f t="shared" si="0"/>
        <v>888</v>
      </c>
      <c r="G22" s="15">
        <f>Tableau1[[#This Row],[dx]]/960</f>
        <v>0.92500000000000004</v>
      </c>
      <c r="H22" s="13">
        <f t="shared" si="1"/>
        <v>888</v>
      </c>
      <c r="I22" s="14">
        <f>Tableau1[[#This Row],[direction]]-centre_direction</f>
        <v>33.240000000000009</v>
      </c>
      <c r="J22" s="14">
        <f>ABS(Tableau1[[#This Row],[d. dir.]])</f>
        <v>33.240000000000009</v>
      </c>
      <c r="K22" s="13">
        <f>Tableau1[[#This Row],[dx]]/Tableau1[[#This Row],[d. dir.]]</f>
        <v>26.714801444043314</v>
      </c>
      <c r="L22" s="14">
        <f>Tableau1[[#This Row],[d. dir.]]/Tableau1[[#This Row],[dx]]*100</f>
        <v>3.7432432432432448</v>
      </c>
      <c r="M22" s="16">
        <f>Tableau1[[#This Row],[d. dir.]]/Tableau1[[#This Row],[angle théoriq.]]</f>
        <v>1.0077934987747705</v>
      </c>
    </row>
    <row r="23" spans="1:13">
      <c r="A23" s="17" t="s">
        <v>42</v>
      </c>
      <c r="B23" s="13">
        <v>1878</v>
      </c>
      <c r="C23" s="13"/>
      <c r="D23" s="14">
        <v>335.1</v>
      </c>
      <c r="E23" s="14">
        <f>Tableau1[[#This Row],[pos.]]*angle/2</f>
        <v>34.097236204390995</v>
      </c>
      <c r="F23" s="13">
        <f t="shared" si="0"/>
        <v>918</v>
      </c>
      <c r="G23" s="15">
        <f>Tableau1[[#This Row],[dx]]/960</f>
        <v>0.95625000000000004</v>
      </c>
      <c r="H23" s="13">
        <f t="shared" si="1"/>
        <v>918</v>
      </c>
      <c r="I23" s="14">
        <f>Tableau1[[#This Row],[direction]]-centre_direction</f>
        <v>34.330000000000041</v>
      </c>
      <c r="J23" s="14">
        <f>ABS(Tableau1[[#This Row],[d. dir.]])</f>
        <v>34.330000000000041</v>
      </c>
      <c r="K23" s="13">
        <f>Tableau1[[#This Row],[dx]]/Tableau1[[#This Row],[d. dir.]]</f>
        <v>26.740460238858109</v>
      </c>
      <c r="L23" s="14">
        <f>Tableau1[[#This Row],[d. dir.]]/Tableau1[[#This Row],[dx]]*100</f>
        <v>3.7396514161220091</v>
      </c>
      <c r="M23" s="16">
        <f>Tableau1[[#This Row],[d. dir.]]/Tableau1[[#This Row],[angle théoriq.]]</f>
        <v>1.0068264710433941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4:G23"/>
  <sheetViews>
    <sheetView workbookViewId="0">
      <selection activeCell="D18" sqref="D18"/>
    </sheetView>
  </sheetViews>
  <sheetFormatPr baseColWidth="10" defaultRowHeight="15"/>
  <cols>
    <col min="2" max="2" width="4.5703125" customWidth="1"/>
    <col min="3" max="3" width="5.85546875" customWidth="1"/>
    <col min="4" max="4" width="10.28515625" customWidth="1"/>
    <col min="5" max="5" width="2.28515625" customWidth="1"/>
    <col min="6" max="6" width="5.85546875" customWidth="1"/>
  </cols>
  <sheetData>
    <row r="4" spans="2:7">
      <c r="B4" t="s">
        <v>49</v>
      </c>
    </row>
    <row r="5" spans="2:7">
      <c r="C5" t="s">
        <v>72</v>
      </c>
      <c r="D5" t="s">
        <v>73</v>
      </c>
      <c r="F5" t="s">
        <v>72</v>
      </c>
      <c r="G5" t="s">
        <v>74</v>
      </c>
    </row>
    <row r="6" spans="2:7">
      <c r="C6" t="s">
        <v>50</v>
      </c>
      <c r="D6" s="3">
        <v>109</v>
      </c>
      <c r="F6" t="s">
        <v>70</v>
      </c>
      <c r="G6" s="3">
        <v>40</v>
      </c>
    </row>
    <row r="7" spans="2:7">
      <c r="C7" t="s">
        <v>51</v>
      </c>
      <c r="D7" s="3">
        <v>0</v>
      </c>
      <c r="F7" t="s">
        <v>71</v>
      </c>
      <c r="G7" s="3">
        <v>0</v>
      </c>
    </row>
    <row r="8" spans="2:7">
      <c r="C8" t="s">
        <v>52</v>
      </c>
      <c r="D8" s="3">
        <v>677</v>
      </c>
      <c r="F8" t="s">
        <v>70</v>
      </c>
      <c r="G8" s="3">
        <v>585</v>
      </c>
    </row>
    <row r="9" spans="2:7">
      <c r="C9" t="s">
        <v>53</v>
      </c>
      <c r="D9" s="3">
        <v>1080</v>
      </c>
      <c r="F9" t="s">
        <v>71</v>
      </c>
      <c r="G9" s="3">
        <v>1080</v>
      </c>
    </row>
    <row r="10" spans="2:7">
      <c r="C10" t="s">
        <v>54</v>
      </c>
      <c r="D10" s="20">
        <v>1080</v>
      </c>
    </row>
    <row r="11" spans="2:7">
      <c r="C11" t="s">
        <v>55</v>
      </c>
      <c r="D11" s="8">
        <f>D8-(D9*(D8-D6)/(D9-D7))</f>
        <v>109</v>
      </c>
    </row>
    <row r="12" spans="2:7">
      <c r="C12" t="s">
        <v>56</v>
      </c>
      <c r="D12" s="8">
        <v>0</v>
      </c>
    </row>
    <row r="13" spans="2:7">
      <c r="C13" t="s">
        <v>57</v>
      </c>
      <c r="D13" s="8">
        <f>D11+D10*(D8-D11)/D9</f>
        <v>677</v>
      </c>
    </row>
    <row r="14" spans="2:7">
      <c r="C14" t="s">
        <v>58</v>
      </c>
      <c r="D14" s="8">
        <f>D10</f>
        <v>1080</v>
      </c>
    </row>
    <row r="15" spans="2:7">
      <c r="B15" s="19" t="s">
        <v>59</v>
      </c>
      <c r="E15" s="19" t="s">
        <v>65</v>
      </c>
    </row>
    <row r="16" spans="2:7">
      <c r="C16" t="s">
        <v>60</v>
      </c>
      <c r="D16">
        <f>(y_1-b)/x_1</f>
        <v>1.9014084507042255</v>
      </c>
      <c r="F16" t="s">
        <v>66</v>
      </c>
      <c r="G16">
        <f>(y_3-b)/x_3</f>
        <v>5.181338028169014</v>
      </c>
    </row>
    <row r="17" spans="2:7">
      <c r="C17" t="s">
        <v>61</v>
      </c>
      <c r="D17">
        <f>(y_2*x_1-y_1*x_2)/(x_1-x_2)</f>
        <v>-207.25352112676057</v>
      </c>
      <c r="F17" t="s">
        <v>67</v>
      </c>
      <c r="G17">
        <f>(y_4*x_3-y_3*x_4)/(x_3-x_4)</f>
        <v>-79.266055045871553</v>
      </c>
    </row>
    <row r="18" spans="2:7">
      <c r="C18" t="s">
        <v>25</v>
      </c>
      <c r="D18" s="3">
        <v>353</v>
      </c>
      <c r="F18" t="s">
        <v>68</v>
      </c>
      <c r="G18">
        <f>(b_prime-b)/(a-a_prime)</f>
        <v>-39.021406727828754</v>
      </c>
    </row>
    <row r="19" spans="2:7">
      <c r="C19" t="s">
        <v>62</v>
      </c>
      <c r="D19" s="8">
        <f>a*x+b</f>
        <v>463.94366197183103</v>
      </c>
      <c r="F19" t="s">
        <v>69</v>
      </c>
      <c r="G19">
        <f>a_prime*G18+b_prime</f>
        <v>-281.44915363742086</v>
      </c>
    </row>
    <row r="20" spans="2:7">
      <c r="C20" t="s">
        <v>63</v>
      </c>
      <c r="D20" s="3">
        <v>1080</v>
      </c>
    </row>
    <row r="21" spans="2:7">
      <c r="C21" t="s">
        <v>64</v>
      </c>
      <c r="D21" s="8">
        <f>(y-b)/a</f>
        <v>676.99999999999989</v>
      </c>
    </row>
    <row r="23" spans="2:7">
      <c r="B23" s="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S45"/>
  <sheetViews>
    <sheetView tabSelected="1" workbookViewId="0">
      <selection activeCell="M40" sqref="M40"/>
    </sheetView>
  </sheetViews>
  <sheetFormatPr baseColWidth="10" defaultRowHeight="15"/>
  <cols>
    <col min="2" max="3" width="23.5703125" customWidth="1"/>
    <col min="5" max="5" width="11.5703125" customWidth="1"/>
    <col min="9" max="9" width="8" customWidth="1"/>
    <col min="16" max="16" width="3.28515625" customWidth="1"/>
    <col min="17" max="17" width="4.5703125" customWidth="1"/>
  </cols>
  <sheetData>
    <row r="1" spans="2:19">
      <c r="B1" t="s">
        <v>105</v>
      </c>
      <c r="D1" s="26">
        <f>DEGREES(ATAN(N1*ρE))</f>
        <v>8.8550638195003852</v>
      </c>
      <c r="E1" s="25">
        <f>Tableau2[[#Totals],[dirC]]+D1</f>
        <v>217.79889491614171</v>
      </c>
      <c r="F1" s="31">
        <v>1187</v>
      </c>
      <c r="H1" t="s">
        <v>118</v>
      </c>
      <c r="I1" s="37">
        <f>1000*TAN(RADIANS(E1-E2))</f>
        <v>565.51694431664316</v>
      </c>
      <c r="J1" t="s">
        <v>119</v>
      </c>
      <c r="K1" s="35">
        <v>1000</v>
      </c>
      <c r="L1" s="33" t="s">
        <v>121</v>
      </c>
      <c r="M1" s="34">
        <f>$K1*TAN(RADIANS($E$1-$E$2))</f>
        <v>565.51694431664316</v>
      </c>
      <c r="N1" s="9">
        <f>F1-w/2</f>
        <v>227</v>
      </c>
    </row>
    <row r="2" spans="2:19">
      <c r="D2" s="26">
        <f>E2-Tableau2[[#Totals],[dirC]]</f>
        <v>-20.63383109664133</v>
      </c>
      <c r="E2" s="32">
        <v>188.31</v>
      </c>
      <c r="F2" s="36">
        <f>TAN(RADIANS($E$2-Tableau2[[#Totals],[dirC]]))/ρE+w/2</f>
        <v>411.34233014594531</v>
      </c>
      <c r="H2" t="s">
        <v>128</v>
      </c>
      <c r="I2" s="37">
        <f>1000*TAN(RADIANS(Tableau2[[#Totals],[éc. type dir]]))</f>
        <v>37.173273445494821</v>
      </c>
      <c r="J2" t="s">
        <v>120</v>
      </c>
      <c r="K2" s="37">
        <v>2000</v>
      </c>
      <c r="L2" t="s">
        <v>122</v>
      </c>
      <c r="M2" s="34">
        <f>$K2*TAN(RADIANS($E$1-$E$2))</f>
        <v>1131.0338886332863</v>
      </c>
    </row>
    <row r="3" spans="2:19" ht="18">
      <c r="B3" t="s">
        <v>96</v>
      </c>
      <c r="C3" t="s">
        <v>37</v>
      </c>
      <c r="D3" s="22" t="s">
        <v>81</v>
      </c>
      <c r="E3" s="23" t="s">
        <v>90</v>
      </c>
      <c r="F3" s="23" t="s">
        <v>25</v>
      </c>
      <c r="G3" s="23" t="s">
        <v>63</v>
      </c>
      <c r="H3" t="s">
        <v>82</v>
      </c>
      <c r="I3" t="s">
        <v>83</v>
      </c>
      <c r="J3" t="s">
        <v>91</v>
      </c>
      <c r="K3" t="s">
        <v>100</v>
      </c>
      <c r="L3" t="s">
        <v>27</v>
      </c>
      <c r="M3" t="s">
        <v>84</v>
      </c>
      <c r="N3" t="s">
        <v>80</v>
      </c>
      <c r="P3" t="s">
        <v>85</v>
      </c>
    </row>
    <row r="4" spans="2:19" ht="18" hidden="1" customHeight="1">
      <c r="B4" t="s">
        <v>97</v>
      </c>
      <c r="C4" t="s">
        <v>89</v>
      </c>
      <c r="D4" s="25">
        <f>DEGREES(ATAN(Tableau2[[#This Row],[l]]*ρE))</f>
        <v>-31.13</v>
      </c>
      <c r="E4" s="25">
        <v>0</v>
      </c>
      <c r="F4" s="9">
        <v>80</v>
      </c>
      <c r="G4" s="9">
        <v>540</v>
      </c>
      <c r="H4" s="9">
        <f>w</f>
        <v>1920</v>
      </c>
      <c r="I4" s="9">
        <v>1080</v>
      </c>
      <c r="J4" s="25">
        <f>Tableau2[[#This Row],[dir]]-Tableau2[[#This Row],[α]]</f>
        <v>31.13</v>
      </c>
      <c r="K4" s="25">
        <f>Tableau2[[#This Row],[dirC]]-Tableau2[[#Totals],[dirC]]</f>
        <v>-177.81383109664134</v>
      </c>
      <c r="L4" s="9">
        <f>Tableau2[[#This Row],[x]]-Tableau2[[#This Row],[width]]/2</f>
        <v>-880</v>
      </c>
      <c r="M4" s="9">
        <f>Tableau2[[#This Row],[y]]-Tableau2[[#This Row],[height]]/2</f>
        <v>0</v>
      </c>
      <c r="N4" s="9">
        <f>Tableau2[[#This Row],[dx]]</f>
        <v>-880</v>
      </c>
      <c r="Q4" s="24" t="s">
        <v>86</v>
      </c>
      <c r="R4" s="27">
        <v>-31.13</v>
      </c>
      <c r="S4" t="s">
        <v>92</v>
      </c>
    </row>
    <row r="5" spans="2:19" ht="18" hidden="1" customHeight="1">
      <c r="B5" t="s">
        <v>97</v>
      </c>
      <c r="C5" t="s">
        <v>88</v>
      </c>
      <c r="D5" s="25">
        <f>DEGREES(ATAN(Tableau2[[#This Row],[l]]*ρE))</f>
        <v>-16.803080314749245</v>
      </c>
      <c r="E5" s="25">
        <v>14.33</v>
      </c>
      <c r="F5" s="9">
        <v>520</v>
      </c>
      <c r="G5" s="9">
        <v>540</v>
      </c>
      <c r="H5" s="9">
        <f>w</f>
        <v>1920</v>
      </c>
      <c r="I5" s="9">
        <v>1080</v>
      </c>
      <c r="J5" s="25">
        <f>Tableau2[[#This Row],[dir]]-Tableau2[[#This Row],[α]]</f>
        <v>31.133080314749243</v>
      </c>
      <c r="K5" s="25">
        <f>Tableau2[[#This Row],[dirC]]-Tableau2[[#Totals],[dirC]]</f>
        <v>-177.8107507818921</v>
      </c>
      <c r="L5" s="9">
        <f>Tableau2[[#This Row],[x]]-Tableau2[[#This Row],[width]]/2</f>
        <v>-440</v>
      </c>
      <c r="M5" s="9">
        <f>Tableau2[[#This Row],[y]]-Tableau2[[#This Row],[height]]/2</f>
        <v>0</v>
      </c>
      <c r="N5" s="9">
        <f>Tableau2[[#This Row],[dx]]</f>
        <v>-440</v>
      </c>
      <c r="Q5" s="24" t="s">
        <v>87</v>
      </c>
      <c r="R5" s="28">
        <v>-880</v>
      </c>
    </row>
    <row r="6" spans="2:19" ht="18" hidden="1">
      <c r="B6" s="17" t="s">
        <v>98</v>
      </c>
      <c r="C6" s="17" t="s">
        <v>76</v>
      </c>
      <c r="D6" s="30">
        <f>DEGREES(ATAN(Tableau2[[#This Row],[l]]*ρE))</f>
        <v>-25.979057450062179</v>
      </c>
      <c r="E6" s="30">
        <v>272.71891597241103</v>
      </c>
      <c r="F6" s="13">
        <v>250</v>
      </c>
      <c r="G6" s="13"/>
      <c r="H6" s="13">
        <f>w</f>
        <v>1920</v>
      </c>
      <c r="I6" s="13"/>
      <c r="J6" s="30">
        <f>Tableau2[[#This Row],[dir]]-Tableau2[[#This Row],[α]]</f>
        <v>298.69797342247318</v>
      </c>
      <c r="K6" s="30">
        <f>Tableau2[[#This Row],[dirC]]-Tableau2[[#Totals],[dirC]]</f>
        <v>89.75414232583185</v>
      </c>
      <c r="L6" s="13">
        <f>Tableau2[[#This Row],[x]]-Tableau2[[#This Row],[width]]/2</f>
        <v>-710</v>
      </c>
      <c r="M6" s="13">
        <f>Tableau2[[#This Row],[y]]-Tableau2[[#This Row],[height]]/2</f>
        <v>0</v>
      </c>
      <c r="N6" s="13">
        <f>Tableau2[[#This Row],[dx]]</f>
        <v>-710</v>
      </c>
      <c r="Q6" s="24" t="s">
        <v>94</v>
      </c>
      <c r="R6" s="29">
        <f>TAN(RADIANS(αE))/lE</f>
        <v>6.8631014445932035E-4</v>
      </c>
      <c r="S6" t="s">
        <v>93</v>
      </c>
    </row>
    <row r="7" spans="2:19" hidden="1">
      <c r="B7" s="17" t="s">
        <v>98</v>
      </c>
      <c r="C7" s="17" t="s">
        <v>77</v>
      </c>
      <c r="D7" s="30">
        <f>DEGREES(ATAN(Tableau2[[#This Row],[l]]*ρE))</f>
        <v>-25.979057450062179</v>
      </c>
      <c r="E7" s="30">
        <v>273.20320836215097</v>
      </c>
      <c r="F7" s="13">
        <v>250</v>
      </c>
      <c r="G7" s="13"/>
      <c r="H7" s="13">
        <f>w</f>
        <v>1920</v>
      </c>
      <c r="I7" s="13"/>
      <c r="J7" s="30">
        <f>Tableau2[[#This Row],[dir]]-Tableau2[[#This Row],[α]]</f>
        <v>299.18226581221313</v>
      </c>
      <c r="K7" s="30">
        <f>Tableau2[[#This Row],[dirC]]-Tableau2[[#Totals],[dirC]]</f>
        <v>90.238434715571799</v>
      </c>
      <c r="L7" s="13">
        <f>Tableau2[[#This Row],[x]]-Tableau2[[#This Row],[width]]/2</f>
        <v>-710</v>
      </c>
      <c r="M7" s="13">
        <f>Tableau2[[#This Row],[y]]-Tableau2[[#This Row],[height]]/2</f>
        <v>0</v>
      </c>
      <c r="N7" s="13">
        <f>Tableau2[[#This Row],[dx]]</f>
        <v>-710</v>
      </c>
      <c r="Q7" s="24" t="s">
        <v>95</v>
      </c>
      <c r="R7" s="28">
        <v>1920</v>
      </c>
    </row>
    <row r="8" spans="2:19" hidden="1">
      <c r="B8" s="17" t="s">
        <v>98</v>
      </c>
      <c r="C8" s="17" t="s">
        <v>78</v>
      </c>
      <c r="D8" s="30">
        <f>DEGREES(ATAN(Tableau2[[#This Row],[l]]*ρE))</f>
        <v>-23.481780707111938</v>
      </c>
      <c r="E8" s="30">
        <v>275.26357220511602</v>
      </c>
      <c r="F8" s="13">
        <v>327</v>
      </c>
      <c r="G8" s="13"/>
      <c r="H8" s="13">
        <f>w</f>
        <v>1920</v>
      </c>
      <c r="I8" s="13"/>
      <c r="J8" s="30">
        <f>Tableau2[[#This Row],[dir]]-Tableau2[[#This Row],[α]]</f>
        <v>298.74535291222799</v>
      </c>
      <c r="K8" s="30">
        <f>Tableau2[[#This Row],[dirC]]-Tableau2[[#Totals],[dirC]]</f>
        <v>89.801521815586653</v>
      </c>
      <c r="L8" s="13">
        <f>Tableau2[[#This Row],[x]]-Tableau2[[#This Row],[width]]/2</f>
        <v>-633</v>
      </c>
      <c r="M8" s="13">
        <f>Tableau2[[#This Row],[y]]-Tableau2[[#This Row],[height]]/2</f>
        <v>0</v>
      </c>
      <c r="N8" s="13">
        <f>Tableau2[[#This Row],[dx]]</f>
        <v>-633</v>
      </c>
      <c r="Q8" s="24"/>
    </row>
    <row r="9" spans="2:19" hidden="1">
      <c r="B9" s="17" t="s">
        <v>98</v>
      </c>
      <c r="C9" s="17" t="s">
        <v>79</v>
      </c>
      <c r="D9" s="30">
        <f>DEGREES(ATAN(Tableau2[[#This Row],[l]]*ρE))</f>
        <v>-23.778822820475099</v>
      </c>
      <c r="E9" s="30">
        <v>275.75532567420402</v>
      </c>
      <c r="F9" s="13">
        <v>318</v>
      </c>
      <c r="G9" s="13"/>
      <c r="H9" s="13">
        <f>w</f>
        <v>1920</v>
      </c>
      <c r="I9" s="13"/>
      <c r="J9" s="30">
        <f>Tableau2[[#This Row],[dir]]-Tableau2[[#This Row],[α]]</f>
        <v>299.53414849467913</v>
      </c>
      <c r="K9" s="30">
        <f>Tableau2[[#This Row],[dirC]]-Tableau2[[#Totals],[dirC]]</f>
        <v>90.590317398037797</v>
      </c>
      <c r="L9" s="13">
        <f>Tableau2[[#This Row],[x]]-Tableau2[[#This Row],[width]]/2</f>
        <v>-642</v>
      </c>
      <c r="M9" s="13">
        <f>Tableau2[[#This Row],[y]]-Tableau2[[#This Row],[height]]/2</f>
        <v>0</v>
      </c>
      <c r="N9" s="13">
        <f>Tableau2[[#This Row],[dx]]</f>
        <v>-642</v>
      </c>
    </row>
    <row r="10" spans="2:19" hidden="1">
      <c r="B10" s="17" t="s">
        <v>98</v>
      </c>
      <c r="C10" s="17" t="s">
        <v>38</v>
      </c>
      <c r="D10" s="30">
        <f>DEGREES(ATAN(Tableau2[[#This Row],[l]]*ρE))</f>
        <v>-20.092686780924236</v>
      </c>
      <c r="E10" s="30">
        <v>278.66000000000003</v>
      </c>
      <c r="F10" s="13">
        <v>427</v>
      </c>
      <c r="G10" s="13"/>
      <c r="H10" s="13">
        <f>w</f>
        <v>1920</v>
      </c>
      <c r="I10" s="13"/>
      <c r="J10" s="30">
        <f>Tableau2[[#This Row],[dir]]-Tableau2[[#This Row],[α]]</f>
        <v>298.75268678092425</v>
      </c>
      <c r="K10" s="30">
        <f>Tableau2[[#This Row],[dirC]]-Tableau2[[#Totals],[dirC]]</f>
        <v>89.808855684282918</v>
      </c>
      <c r="L10" s="13">
        <f>Tableau2[[#This Row],[x]]-Tableau2[[#This Row],[width]]/2</f>
        <v>-533</v>
      </c>
      <c r="M10" s="13">
        <f>Tableau2[[#This Row],[y]]-Tableau2[[#This Row],[height]]/2</f>
        <v>0</v>
      </c>
      <c r="N10" s="13">
        <f>Tableau2[[#This Row],[dx]]</f>
        <v>-533</v>
      </c>
    </row>
    <row r="11" spans="2:19" hidden="1">
      <c r="B11" s="17" t="s">
        <v>98</v>
      </c>
      <c r="C11" s="17" t="s">
        <v>39</v>
      </c>
      <c r="D11" s="30">
        <f>DEGREES(ATAN(Tableau2[[#This Row],[l]]*ρE))</f>
        <v>-10.991467734534149</v>
      </c>
      <c r="E11" s="30">
        <v>288.94</v>
      </c>
      <c r="F11" s="13">
        <v>677</v>
      </c>
      <c r="G11" s="13"/>
      <c r="H11" s="13">
        <f>w</f>
        <v>1920</v>
      </c>
      <c r="I11" s="13"/>
      <c r="J11" s="30">
        <f>Tableau2[[#This Row],[dir]]-Tableau2[[#This Row],[α]]</f>
        <v>299.93146773453412</v>
      </c>
      <c r="K11" s="30">
        <f>Tableau2[[#This Row],[dirC]]-Tableau2[[#Totals],[dirC]]</f>
        <v>90.987636637892791</v>
      </c>
      <c r="L11" s="13">
        <f>Tableau2[[#This Row],[x]]-Tableau2[[#This Row],[width]]/2</f>
        <v>-283</v>
      </c>
      <c r="M11" s="13">
        <f>Tableau2[[#This Row],[y]]-Tableau2[[#This Row],[height]]/2</f>
        <v>0</v>
      </c>
      <c r="N11" s="13">
        <f>Tableau2[[#This Row],[dx]]</f>
        <v>-283</v>
      </c>
    </row>
    <row r="12" spans="2:19" hidden="1">
      <c r="B12" s="17" t="s">
        <v>98</v>
      </c>
      <c r="C12" s="17" t="s">
        <v>46</v>
      </c>
      <c r="D12" s="30">
        <f>DEGREES(ATAN(Tableau2[[#This Row],[l]]*ρE))</f>
        <v>-7.6998758638936255</v>
      </c>
      <c r="E12" s="30">
        <v>292.24</v>
      </c>
      <c r="F12" s="13">
        <v>763</v>
      </c>
      <c r="G12" s="13"/>
      <c r="H12" s="13">
        <f>w</f>
        <v>1920</v>
      </c>
      <c r="I12" s="13"/>
      <c r="J12" s="30">
        <f>Tableau2[[#This Row],[dir]]-Tableau2[[#This Row],[α]]</f>
        <v>299.93987586389363</v>
      </c>
      <c r="K12" s="30">
        <f>Tableau2[[#This Row],[dirC]]-Tableau2[[#Totals],[dirC]]</f>
        <v>90.9960447672523</v>
      </c>
      <c r="L12" s="13">
        <f>Tableau2[[#This Row],[x]]-Tableau2[[#This Row],[width]]/2</f>
        <v>-197</v>
      </c>
      <c r="M12" s="13">
        <f>Tableau2[[#This Row],[y]]-Tableau2[[#This Row],[height]]/2</f>
        <v>0</v>
      </c>
      <c r="N12" s="13">
        <f>Tableau2[[#This Row],[dx]]</f>
        <v>-197</v>
      </c>
    </row>
    <row r="13" spans="2:19" hidden="1">
      <c r="B13" s="17" t="s">
        <v>98</v>
      </c>
      <c r="C13" s="17" t="s">
        <v>47</v>
      </c>
      <c r="D13" s="30">
        <f>DEGREES(ATAN(Tableau2[[#This Row],[l]]*ρE))</f>
        <v>-6.6935589886281344</v>
      </c>
      <c r="E13" s="30">
        <v>293.20999999999998</v>
      </c>
      <c r="F13" s="13">
        <v>789</v>
      </c>
      <c r="G13" s="13"/>
      <c r="H13" s="13">
        <f>w</f>
        <v>1920</v>
      </c>
      <c r="I13" s="13"/>
      <c r="J13" s="30">
        <f>Tableau2[[#This Row],[dir]]-Tableau2[[#This Row],[α]]</f>
        <v>299.90355898862811</v>
      </c>
      <c r="K13" s="30">
        <f>Tableau2[[#This Row],[dirC]]-Tableau2[[#Totals],[dirC]]</f>
        <v>90.959727891986773</v>
      </c>
      <c r="L13" s="13">
        <f>Tableau2[[#This Row],[x]]-Tableau2[[#This Row],[width]]/2</f>
        <v>-171</v>
      </c>
      <c r="M13" s="13">
        <f>Tableau2[[#This Row],[y]]-Tableau2[[#This Row],[height]]/2</f>
        <v>0</v>
      </c>
      <c r="N13" s="13">
        <f>Tableau2[[#This Row],[dx]]</f>
        <v>-171</v>
      </c>
    </row>
    <row r="14" spans="2:19" hidden="1">
      <c r="B14" s="17" t="s">
        <v>101</v>
      </c>
      <c r="C14" s="17" t="s">
        <v>102</v>
      </c>
      <c r="D14" s="30">
        <f>DEGREES(ATAN(Tableau2[[#This Row],[l]]*ρE))</f>
        <v>3.4561971895655663</v>
      </c>
      <c r="E14" s="30">
        <v>183.95</v>
      </c>
      <c r="F14" s="13">
        <v>1048</v>
      </c>
      <c r="G14" s="13">
        <v>82</v>
      </c>
      <c r="H14" s="13">
        <f>w</f>
        <v>1920</v>
      </c>
      <c r="I14" s="13"/>
      <c r="J14" s="30">
        <f>Tableau2[[#This Row],[dir]]-Tableau2[[#This Row],[α]]</f>
        <v>180.49380281043443</v>
      </c>
      <c r="K14" s="30">
        <f>Tableau2[[#This Row],[dirC]]-Tableau2[[#Totals],[dirC]]</f>
        <v>-28.450028286206901</v>
      </c>
      <c r="L14" s="13">
        <f>Tableau2[[#This Row],[x]]-Tableau2[[#This Row],[width]]/2</f>
        <v>88</v>
      </c>
      <c r="M14" s="13">
        <f>Tableau2[[#This Row],[y]]-Tableau2[[#This Row],[height]]/2</f>
        <v>82</v>
      </c>
      <c r="N14" s="13">
        <f>Tableau2[[#This Row],[dx]]</f>
        <v>88</v>
      </c>
    </row>
    <row r="15" spans="2:19" hidden="1">
      <c r="B15" s="17" t="s">
        <v>101</v>
      </c>
      <c r="C15" s="17" t="s">
        <v>103</v>
      </c>
      <c r="D15" s="30">
        <f>DEGREES(ATAN(Tableau2[[#This Row],[l]]*ρE))</f>
        <v>4.6299713615815881</v>
      </c>
      <c r="E15" s="30">
        <v>183.95</v>
      </c>
      <c r="F15" s="13">
        <v>1078</v>
      </c>
      <c r="G15" s="13">
        <v>87</v>
      </c>
      <c r="H15" s="13">
        <f>w</f>
        <v>1920</v>
      </c>
      <c r="I15" s="13"/>
      <c r="J15" s="30">
        <f>Tableau2[[#This Row],[dir]]-Tableau2[[#This Row],[α]]</f>
        <v>179.32002863841839</v>
      </c>
      <c r="K15" s="30">
        <f>Tableau2[[#This Row],[dirC]]-Tableau2[[#Totals],[dirC]]</f>
        <v>-29.62380245822294</v>
      </c>
      <c r="L15" s="13">
        <f>Tableau2[[#This Row],[x]]-Tableau2[[#This Row],[width]]/2</f>
        <v>118</v>
      </c>
      <c r="M15" s="13">
        <f>Tableau2[[#This Row],[y]]-Tableau2[[#This Row],[height]]/2</f>
        <v>87</v>
      </c>
      <c r="N15" s="13">
        <f>Tableau2[[#This Row],[dx]]</f>
        <v>118</v>
      </c>
    </row>
    <row r="16" spans="2:19" hidden="1">
      <c r="B16" s="17" t="s">
        <v>101</v>
      </c>
      <c r="C16" s="17" t="s">
        <v>104</v>
      </c>
      <c r="D16" s="30">
        <f>DEGREES(ATAN(Tableau2[[#This Row],[l]]*ρE))</f>
        <v>-7.4293879789011283</v>
      </c>
      <c r="E16" s="30">
        <v>170.58</v>
      </c>
      <c r="F16" s="13">
        <v>770</v>
      </c>
      <c r="G16" s="13">
        <v>235</v>
      </c>
      <c r="H16" s="13">
        <f>w</f>
        <v>1920</v>
      </c>
      <c r="I16" s="13"/>
      <c r="J16" s="30">
        <f>Tableau2[[#This Row],[dir]]-Tableau2[[#This Row],[α]]</f>
        <v>178.00938797890115</v>
      </c>
      <c r="K16" s="30">
        <f>Tableau2[[#This Row],[dirC]]-Tableau2[[#Totals],[dirC]]</f>
        <v>-30.934443117740187</v>
      </c>
      <c r="L16" s="13">
        <f>Tableau2[[#This Row],[x]]-Tableau2[[#This Row],[width]]/2</f>
        <v>-190</v>
      </c>
      <c r="M16" s="13">
        <f>Tableau2[[#This Row],[y]]-Tableau2[[#This Row],[height]]/2</f>
        <v>235</v>
      </c>
      <c r="N16" s="13">
        <f>Tableau2[[#This Row],[dx]]</f>
        <v>-190</v>
      </c>
    </row>
    <row r="17" spans="2:14" hidden="1">
      <c r="B17" s="17" t="s">
        <v>101</v>
      </c>
      <c r="C17" s="17" t="s">
        <v>116</v>
      </c>
      <c r="D17" s="30">
        <f>DEGREES(ATAN(Tableau2[[#This Row],[l]]*ρE))</f>
        <v>-28.161119116223961</v>
      </c>
      <c r="E17" s="30">
        <v>146.79</v>
      </c>
      <c r="F17" s="13">
        <v>180</v>
      </c>
      <c r="G17" s="13">
        <v>356</v>
      </c>
      <c r="H17" s="13">
        <f>w</f>
        <v>1920</v>
      </c>
      <c r="I17" s="13"/>
      <c r="J17" s="30">
        <f>Tableau2[[#This Row],[dir]]-Tableau2[[#This Row],[α]]</f>
        <v>174.95111911622396</v>
      </c>
      <c r="K17" s="30">
        <f>Tableau2[[#This Row],[dirC]]-Tableau2[[#Totals],[dirC]]</f>
        <v>-33.992711980417369</v>
      </c>
      <c r="L17" s="13">
        <f>Tableau2[[#This Row],[x]]-Tableau2[[#This Row],[width]]/2</f>
        <v>-780</v>
      </c>
      <c r="M17" s="13">
        <f>Tableau2[[#This Row],[y]]-Tableau2[[#This Row],[height]]/2</f>
        <v>356</v>
      </c>
      <c r="N17" s="13">
        <f>Tableau2[[#This Row],[dx]]</f>
        <v>-780</v>
      </c>
    </row>
    <row r="18" spans="2:14" hidden="1">
      <c r="B18" s="17" t="s">
        <v>101</v>
      </c>
      <c r="C18" s="17" t="s">
        <v>106</v>
      </c>
      <c r="D18" s="30">
        <f>DEGREES(ATAN(Tableau2[[#This Row],[l]]*ρE))</f>
        <v>12.386608410608488</v>
      </c>
      <c r="E18" s="30">
        <v>191.96</v>
      </c>
      <c r="F18" s="13">
        <v>1280</v>
      </c>
      <c r="G18" s="13">
        <v>134</v>
      </c>
      <c r="H18" s="13">
        <f>w</f>
        <v>1920</v>
      </c>
      <c r="I18" s="13"/>
      <c r="J18" s="30">
        <f>Tableau2[[#This Row],[dir]]-Tableau2[[#This Row],[α]]</f>
        <v>179.57339158939152</v>
      </c>
      <c r="K18" s="30">
        <f>Tableau2[[#This Row],[dirC]]-Tableau2[[#Totals],[dirC]]</f>
        <v>-29.370439507249813</v>
      </c>
      <c r="L18" s="13">
        <f>Tableau2[[#This Row],[x]]-Tableau2[[#This Row],[width]]/2</f>
        <v>320</v>
      </c>
      <c r="M18" s="13">
        <f>Tableau2[[#This Row],[y]]-Tableau2[[#This Row],[height]]/2</f>
        <v>134</v>
      </c>
      <c r="N18" s="13">
        <f>Tableau2[[#This Row],[dx]]</f>
        <v>320</v>
      </c>
    </row>
    <row r="19" spans="2:14" hidden="1">
      <c r="B19" s="17" t="s">
        <v>101</v>
      </c>
      <c r="C19" t="s">
        <v>109</v>
      </c>
      <c r="D19" s="30">
        <f>DEGREES(ATAN(Tableau2[[#This Row],[l]]*ρE))</f>
        <v>13.134680644883922</v>
      </c>
      <c r="E19" s="30">
        <v>193.26</v>
      </c>
      <c r="F19" s="13">
        <v>1300</v>
      </c>
      <c r="G19" s="13">
        <v>104</v>
      </c>
      <c r="H19" s="13">
        <f>w</f>
        <v>1920</v>
      </c>
      <c r="I19" s="13"/>
      <c r="J19" s="30">
        <f>Tableau2[[#This Row],[dir]]-Tableau2[[#This Row],[α]]</f>
        <v>180.12531935511606</v>
      </c>
      <c r="K19" s="30">
        <f>Tableau2[[#This Row],[dirC]]-Tableau2[[#Totals],[dirC]]</f>
        <v>-28.818511741525271</v>
      </c>
      <c r="L19" s="13">
        <f>Tableau2[[#This Row],[x]]-Tableau2[[#This Row],[width]]/2</f>
        <v>340</v>
      </c>
      <c r="M19" s="13">
        <f>Tableau2[[#This Row],[y]]-Tableau2[[#This Row],[height]]/2</f>
        <v>104</v>
      </c>
      <c r="N19" s="13">
        <f>Tableau2[[#This Row],[dx]]</f>
        <v>340</v>
      </c>
    </row>
    <row r="20" spans="2:14" hidden="1">
      <c r="B20" s="17" t="s">
        <v>101</v>
      </c>
      <c r="C20" s="17" t="s">
        <v>110</v>
      </c>
      <c r="D20" s="30">
        <f>DEGREES(ATAN(Tableau2[[#This Row],[l]]*ρE))</f>
        <v>18.410559023085899</v>
      </c>
      <c r="E20" s="30">
        <v>198.26</v>
      </c>
      <c r="F20" s="13">
        <v>1445</v>
      </c>
      <c r="G20" s="13">
        <v>115</v>
      </c>
      <c r="H20" s="13">
        <f>w</f>
        <v>1920</v>
      </c>
      <c r="I20" s="13"/>
      <c r="J20" s="30">
        <f>Tableau2[[#This Row],[dir]]-Tableau2[[#This Row],[α]]</f>
        <v>179.84944097691408</v>
      </c>
      <c r="K20" s="30">
        <f>Tableau2[[#This Row],[dirC]]-Tableau2[[#Totals],[dirC]]</f>
        <v>-29.094390119727251</v>
      </c>
      <c r="L20" s="13">
        <f>Tableau2[[#This Row],[x]]-Tableau2[[#This Row],[width]]/2</f>
        <v>485</v>
      </c>
      <c r="M20" s="13">
        <f>Tableau2[[#This Row],[y]]-Tableau2[[#This Row],[height]]/2</f>
        <v>115</v>
      </c>
      <c r="N20" s="13">
        <f>Tableau2[[#This Row],[dx]]</f>
        <v>485</v>
      </c>
    </row>
    <row r="21" spans="2:14" hidden="1">
      <c r="B21" s="17" t="s">
        <v>101</v>
      </c>
      <c r="C21" t="s">
        <v>107</v>
      </c>
      <c r="D21" s="30">
        <f>DEGREES(ATAN(Tableau2[[#This Row],[l]]*ρE))</f>
        <v>19.430977485436763</v>
      </c>
      <c r="E21" s="30">
        <v>199.64</v>
      </c>
      <c r="F21" s="13">
        <v>1474</v>
      </c>
      <c r="G21" s="13">
        <v>113</v>
      </c>
      <c r="H21" s="13">
        <f>w</f>
        <v>1920</v>
      </c>
      <c r="I21" s="13"/>
      <c r="J21" s="30">
        <f>Tableau2[[#This Row],[dir]]-Tableau2[[#This Row],[α]]</f>
        <v>180.20902251456323</v>
      </c>
      <c r="K21" s="30">
        <f>Tableau2[[#This Row],[dirC]]-Tableau2[[#Totals],[dirC]]</f>
        <v>-28.734808582078102</v>
      </c>
      <c r="L21" s="13">
        <f>Tableau2[[#This Row],[x]]-Tableau2[[#This Row],[width]]/2</f>
        <v>514</v>
      </c>
      <c r="M21" s="13">
        <f>Tableau2[[#This Row],[y]]-Tableau2[[#This Row],[height]]/2</f>
        <v>113</v>
      </c>
      <c r="N21" s="13">
        <f>Tableau2[[#This Row],[dx]]</f>
        <v>514</v>
      </c>
    </row>
    <row r="22" spans="2:14" hidden="1">
      <c r="B22" s="17" t="s">
        <v>101</v>
      </c>
      <c r="C22" s="17" t="s">
        <v>111</v>
      </c>
      <c r="D22" s="30">
        <f>DEGREES(ATAN(Tableau2[[#This Row],[l]]*ρE))</f>
        <v>24.434070558685622</v>
      </c>
      <c r="E22" s="30">
        <v>204.85</v>
      </c>
      <c r="F22" s="13">
        <v>1622</v>
      </c>
      <c r="G22" s="13">
        <v>130</v>
      </c>
      <c r="H22" s="13">
        <f>w</f>
        <v>1920</v>
      </c>
      <c r="I22" s="13"/>
      <c r="J22" s="30">
        <f>Tableau2[[#This Row],[dir]]-Tableau2[[#This Row],[α]]</f>
        <v>180.41592944131438</v>
      </c>
      <c r="K22" s="30">
        <f>Tableau2[[#This Row],[dirC]]-Tableau2[[#Totals],[dirC]]</f>
        <v>-28.527901655326957</v>
      </c>
      <c r="L22" s="13">
        <f>Tableau2[[#This Row],[x]]-Tableau2[[#This Row],[width]]/2</f>
        <v>662</v>
      </c>
      <c r="M22" s="13">
        <f>Tableau2[[#This Row],[y]]-Tableau2[[#This Row],[height]]/2</f>
        <v>130</v>
      </c>
      <c r="N22" s="13">
        <f>Tableau2[[#This Row],[dx]]</f>
        <v>662</v>
      </c>
    </row>
    <row r="23" spans="2:14" hidden="1">
      <c r="B23" s="17" t="s">
        <v>101</v>
      </c>
      <c r="C23" t="s">
        <v>108</v>
      </c>
      <c r="D23" s="30">
        <f>DEGREES(ATAN(Tableau2[[#This Row],[l]]*ρE))</f>
        <v>25.724289199762989</v>
      </c>
      <c r="E23" s="30">
        <v>206.23</v>
      </c>
      <c r="F23" s="13">
        <v>1662</v>
      </c>
      <c r="G23" s="13">
        <v>120</v>
      </c>
      <c r="H23" s="13">
        <f>w</f>
        <v>1920</v>
      </c>
      <c r="I23" s="13"/>
      <c r="J23" s="30">
        <f>Tableau2[[#This Row],[dir]]-Tableau2[[#This Row],[α]]</f>
        <v>180.50571080023701</v>
      </c>
      <c r="K23" s="30">
        <f>Tableau2[[#This Row],[dirC]]-Tableau2[[#Totals],[dirC]]</f>
        <v>-28.438120296404321</v>
      </c>
      <c r="L23" s="13">
        <f>Tableau2[[#This Row],[x]]-Tableau2[[#This Row],[width]]/2</f>
        <v>702</v>
      </c>
      <c r="M23" s="13">
        <f>Tableau2[[#This Row],[y]]-Tableau2[[#This Row],[height]]/2</f>
        <v>120</v>
      </c>
      <c r="N23" s="13">
        <f>Tableau2[[#This Row],[dx]]</f>
        <v>702</v>
      </c>
    </row>
    <row r="24" spans="2:14" hidden="1">
      <c r="B24" s="17" t="s">
        <v>101</v>
      </c>
      <c r="C24" s="17" t="s">
        <v>112</v>
      </c>
      <c r="D24" s="30">
        <f>DEGREES(ATAN(Tableau2[[#This Row],[l]]*ρE))</f>
        <v>28.76890439060919</v>
      </c>
      <c r="E24" s="30">
        <v>209.99</v>
      </c>
      <c r="F24" s="13">
        <v>1760</v>
      </c>
      <c r="G24" s="13">
        <v>268</v>
      </c>
      <c r="H24" s="13">
        <f>w</f>
        <v>1920</v>
      </c>
      <c r="I24" s="13"/>
      <c r="J24" s="30">
        <f>Tableau2[[#This Row],[dir]]-Tableau2[[#This Row],[α]]</f>
        <v>181.22109560939083</v>
      </c>
      <c r="K24" s="30">
        <f>Tableau2[[#This Row],[dirC]]-Tableau2[[#Totals],[dirC]]</f>
        <v>-27.722735487250503</v>
      </c>
      <c r="L24" s="13">
        <f>Tableau2[[#This Row],[x]]-Tableau2[[#This Row],[width]]/2</f>
        <v>800</v>
      </c>
      <c r="M24" s="13">
        <f>Tableau2[[#This Row],[y]]-Tableau2[[#This Row],[height]]/2</f>
        <v>268</v>
      </c>
      <c r="N24" s="13">
        <f>Tableau2[[#This Row],[dx]]</f>
        <v>800</v>
      </c>
    </row>
    <row r="25" spans="2:14" hidden="1">
      <c r="B25" s="17" t="s">
        <v>101</v>
      </c>
      <c r="C25" s="17" t="s">
        <v>113</v>
      </c>
      <c r="D25" s="30">
        <f>DEGREES(ATAN(Tableau2[[#This Row],[l]]*ρE))</f>
        <v>29.726800751575002</v>
      </c>
      <c r="E25" s="30">
        <v>209.99</v>
      </c>
      <c r="F25" s="13">
        <v>1792</v>
      </c>
      <c r="G25" s="13">
        <v>284</v>
      </c>
      <c r="H25" s="13">
        <f>w</f>
        <v>1920</v>
      </c>
      <c r="I25" s="13"/>
      <c r="J25" s="30">
        <f>Tableau2[[#This Row],[dir]]-Tableau2[[#This Row],[α]]</f>
        <v>180.263199248425</v>
      </c>
      <c r="K25" s="30">
        <f>Tableau2[[#This Row],[dirC]]-Tableau2[[#Totals],[dirC]]</f>
        <v>-28.680631848216336</v>
      </c>
      <c r="L25" s="13">
        <f>Tableau2[[#This Row],[x]]-Tableau2[[#This Row],[width]]/2</f>
        <v>832</v>
      </c>
      <c r="M25" s="13">
        <f>Tableau2[[#This Row],[y]]-Tableau2[[#This Row],[height]]/2</f>
        <v>284</v>
      </c>
      <c r="N25" s="13">
        <f>Tableau2[[#This Row],[dx]]</f>
        <v>832</v>
      </c>
    </row>
    <row r="26" spans="2:14" hidden="1">
      <c r="B26" s="17" t="s">
        <v>101</v>
      </c>
      <c r="C26" s="17" t="s">
        <v>114</v>
      </c>
      <c r="D26" s="30">
        <f>DEGREES(ATAN(Tableau2[[#This Row],[l]]*ρE))</f>
        <v>26.137729575063418</v>
      </c>
      <c r="E26" s="30">
        <v>207.45</v>
      </c>
      <c r="F26" s="13">
        <v>1675</v>
      </c>
      <c r="G26" s="13">
        <v>283</v>
      </c>
      <c r="H26" s="13">
        <f>w</f>
        <v>1920</v>
      </c>
      <c r="I26" s="13"/>
      <c r="J26" s="30">
        <f>Tableau2[[#This Row],[dir]]-Tableau2[[#This Row],[α]]</f>
        <v>181.31227042493657</v>
      </c>
      <c r="K26" s="30">
        <f>Tableau2[[#This Row],[dirC]]-Tableau2[[#Totals],[dirC]]</f>
        <v>-27.631560671704761</v>
      </c>
      <c r="L26" s="13">
        <f>Tableau2[[#This Row],[x]]-Tableau2[[#This Row],[width]]/2</f>
        <v>715</v>
      </c>
      <c r="M26" s="13">
        <f>Tableau2[[#This Row],[y]]-Tableau2[[#This Row],[height]]/2</f>
        <v>283</v>
      </c>
      <c r="N26" s="13">
        <f>Tableau2[[#This Row],[dx]]</f>
        <v>715</v>
      </c>
    </row>
    <row r="27" spans="2:14" hidden="1">
      <c r="B27" s="17" t="s">
        <v>101</v>
      </c>
      <c r="C27" s="17" t="s">
        <v>115</v>
      </c>
      <c r="D27" s="30">
        <f>DEGREES(ATAN(Tableau2[[#This Row],[l]]*ρE))</f>
        <v>32.268532860569394</v>
      </c>
      <c r="E27" s="30">
        <v>214.08</v>
      </c>
      <c r="F27" s="13">
        <v>1880</v>
      </c>
      <c r="G27" s="13">
        <v>533</v>
      </c>
      <c r="H27" s="13">
        <f>w</f>
        <v>1920</v>
      </c>
      <c r="I27" s="13"/>
      <c r="J27" s="30">
        <f>Tableau2[[#This Row],[dir]]-Tableau2[[#This Row],[α]]</f>
        <v>181.81146713943062</v>
      </c>
      <c r="K27" s="30">
        <f>Tableau2[[#This Row],[dirC]]-Tableau2[[#Totals],[dirC]]</f>
        <v>-27.132363957210714</v>
      </c>
      <c r="L27" s="13">
        <f>Tableau2[[#This Row],[x]]-Tableau2[[#This Row],[width]]/2</f>
        <v>920</v>
      </c>
      <c r="M27" s="13">
        <f>Tableau2[[#This Row],[y]]-Tableau2[[#This Row],[height]]/2</f>
        <v>533</v>
      </c>
      <c r="N27" s="13">
        <f>Tableau2[[#This Row],[dx]]</f>
        <v>920</v>
      </c>
    </row>
    <row r="28" spans="2:14" hidden="1">
      <c r="B28" s="17" t="s">
        <v>101</v>
      </c>
      <c r="C28" s="17" t="s">
        <v>117</v>
      </c>
      <c r="D28" s="30">
        <f>DEGREES(ATAN(Tableau2[[#This Row],[l]]*ρE))</f>
        <v>11.558754183846105</v>
      </c>
      <c r="E28" s="30">
        <v>191.29</v>
      </c>
      <c r="F28" s="13">
        <v>1258</v>
      </c>
      <c r="G28" s="13">
        <v>202</v>
      </c>
      <c r="H28" s="13">
        <f>w</f>
        <v>1920</v>
      </c>
      <c r="I28" s="13"/>
      <c r="J28" s="30">
        <f>Tableau2[[#This Row],[dir]]-Tableau2[[#This Row],[α]]</f>
        <v>179.73124581615389</v>
      </c>
      <c r="K28" s="30">
        <f>Tableau2[[#This Row],[dirC]]-Tableau2[[#Totals],[dirC]]</f>
        <v>-29.212585280487446</v>
      </c>
      <c r="L28" s="13">
        <f>Tableau2[[#This Row],[x]]-Tableau2[[#This Row],[width]]/2</f>
        <v>298</v>
      </c>
      <c r="M28" s="13">
        <f>Tableau2[[#This Row],[y]]-Tableau2[[#This Row],[height]]/2</f>
        <v>202</v>
      </c>
      <c r="N28" s="13">
        <f>Tableau2[[#This Row],[dx]]</f>
        <v>298</v>
      </c>
    </row>
    <row r="29" spans="2:14">
      <c r="B29" s="17" t="s">
        <v>125</v>
      </c>
      <c r="C29" s="17" t="s">
        <v>102</v>
      </c>
      <c r="D29" s="30">
        <f>DEGREES(ATAN(Tableau2[[#This Row],[l]]*ρE))</f>
        <v>-28.91975776201145</v>
      </c>
      <c r="E29" s="30">
        <v>177.15</v>
      </c>
      <c r="F29" s="13">
        <v>155</v>
      </c>
      <c r="G29" s="13"/>
      <c r="H29" s="13">
        <f>w</f>
        <v>1920</v>
      </c>
      <c r="I29" s="13"/>
      <c r="J29" s="30">
        <f>Tableau2[[#This Row],[dir]]-Tableau2[[#This Row],[α]]</f>
        <v>206.06975776201145</v>
      </c>
      <c r="K29" s="30">
        <f>Tableau2[[#This Row],[dirC]]-Tableau2[[#Totals],[dirC]]</f>
        <v>-2.8740733346298839</v>
      </c>
      <c r="L29" s="13">
        <f>Tableau2[[#This Row],[x]]-Tableau2[[#This Row],[width]]/2</f>
        <v>-805</v>
      </c>
      <c r="M29" s="13">
        <f>Tableau2[[#This Row],[y]]-Tableau2[[#This Row],[height]]/2</f>
        <v>0</v>
      </c>
      <c r="N29" s="13">
        <f>Tableau2[[#This Row],[dx]]</f>
        <v>-805</v>
      </c>
    </row>
    <row r="30" spans="2:14">
      <c r="B30" s="17" t="s">
        <v>125</v>
      </c>
      <c r="C30" s="17" t="s">
        <v>103</v>
      </c>
      <c r="D30" s="30">
        <f>DEGREES(ATAN(Tableau2[[#This Row],[l]]*ρE))</f>
        <v>-27.793095377280505</v>
      </c>
      <c r="E30" s="30">
        <v>178.34</v>
      </c>
      <c r="F30" s="13">
        <v>192</v>
      </c>
      <c r="G30" s="13"/>
      <c r="H30" s="13">
        <f>w</f>
        <v>1920</v>
      </c>
      <c r="I30" s="13"/>
      <c r="J30" s="30">
        <f>Tableau2[[#This Row],[dir]]-Tableau2[[#This Row],[α]]</f>
        <v>206.13309537728051</v>
      </c>
      <c r="K30" s="30">
        <f>Tableau2[[#This Row],[dirC]]-Tableau2[[#Totals],[dirC]]</f>
        <v>-2.8107357193608209</v>
      </c>
      <c r="L30" s="13">
        <f>Tableau2[[#This Row],[x]]-Tableau2[[#This Row],[width]]/2</f>
        <v>-768</v>
      </c>
      <c r="M30" s="13">
        <f>Tableau2[[#This Row],[y]]-Tableau2[[#This Row],[height]]/2</f>
        <v>0</v>
      </c>
      <c r="N30" s="13">
        <f>Tableau2[[#This Row],[dx]]</f>
        <v>-768</v>
      </c>
    </row>
    <row r="31" spans="2:14">
      <c r="B31" s="17" t="s">
        <v>125</v>
      </c>
      <c r="C31" s="17" t="s">
        <v>106</v>
      </c>
      <c r="D31" s="30">
        <f>DEGREES(ATAN(Tableau2[[#This Row],[l]]*ρE))</f>
        <v>-20.231291060007493</v>
      </c>
      <c r="E31" s="30">
        <v>188.31</v>
      </c>
      <c r="F31" s="13">
        <v>423</v>
      </c>
      <c r="G31" s="13"/>
      <c r="H31" s="13">
        <f>w</f>
        <v>1920</v>
      </c>
      <c r="I31" s="13"/>
      <c r="J31" s="30">
        <f>Tableau2[[#This Row],[dir]]-Tableau2[[#This Row],[α]]</f>
        <v>208.5412910600075</v>
      </c>
      <c r="K31" s="30">
        <f>Tableau2[[#This Row],[dirC]]-Tableau2[[#Totals],[dirC]]</f>
        <v>-0.40254003663383742</v>
      </c>
      <c r="L31" s="13">
        <f>Tableau2[[#This Row],[x]]-Tableau2[[#This Row],[width]]/2</f>
        <v>-537</v>
      </c>
      <c r="M31" s="13">
        <f>Tableau2[[#This Row],[y]]-Tableau2[[#This Row],[height]]/2</f>
        <v>0</v>
      </c>
      <c r="N31" s="13">
        <f>Tableau2[[#This Row],[dx]]</f>
        <v>-537</v>
      </c>
    </row>
    <row r="32" spans="2:14">
      <c r="B32" s="17" t="s">
        <v>125</v>
      </c>
      <c r="C32" t="s">
        <v>109</v>
      </c>
      <c r="D32" s="30">
        <f>DEGREES(ATAN(Tableau2[[#This Row],[l]]*ρE))</f>
        <v>-19.535822145647803</v>
      </c>
      <c r="E32" s="30">
        <v>189.42</v>
      </c>
      <c r="F32" s="13">
        <v>443</v>
      </c>
      <c r="G32" s="13"/>
      <c r="H32" s="13">
        <f>w</f>
        <v>1920</v>
      </c>
      <c r="I32" s="13"/>
      <c r="J32" s="30">
        <f>Tableau2[[#This Row],[dir]]-Tableau2[[#This Row],[α]]</f>
        <v>208.9558221456478</v>
      </c>
      <c r="K32" s="30">
        <f>Tableau2[[#This Row],[dirC]]-Tableau2[[#Totals],[dirC]]</f>
        <v>1.1991049006468302E-2</v>
      </c>
      <c r="L32" s="13">
        <f>Tableau2[[#This Row],[x]]-Tableau2[[#This Row],[width]]/2</f>
        <v>-517</v>
      </c>
      <c r="M32" s="13">
        <f>Tableau2[[#This Row],[y]]-Tableau2[[#This Row],[height]]/2</f>
        <v>0</v>
      </c>
      <c r="N32" s="13">
        <f>Tableau2[[#This Row],[dx]]</f>
        <v>-517</v>
      </c>
    </row>
    <row r="33" spans="2:14">
      <c r="B33" s="17" t="s">
        <v>125</v>
      </c>
      <c r="C33" s="17" t="s">
        <v>110</v>
      </c>
      <c r="D33" s="30">
        <f>DEGREES(ATAN(Tableau2[[#This Row],[l]]*ρE))</f>
        <v>-14.248229547142955</v>
      </c>
      <c r="E33" s="30">
        <v>195.08</v>
      </c>
      <c r="F33" s="13">
        <v>590</v>
      </c>
      <c r="G33" s="13"/>
      <c r="H33" s="13">
        <f>w</f>
        <v>1920</v>
      </c>
      <c r="I33" s="13"/>
      <c r="J33" s="30">
        <f>Tableau2[[#This Row],[dir]]-Tableau2[[#This Row],[α]]</f>
        <v>209.32822954714297</v>
      </c>
      <c r="K33" s="30">
        <f>Tableau2[[#This Row],[dirC]]-Tableau2[[#Totals],[dirC]]</f>
        <v>0.38439845050163512</v>
      </c>
      <c r="L33" s="13">
        <f>Tableau2[[#This Row],[x]]-Tableau2[[#This Row],[width]]/2</f>
        <v>-370</v>
      </c>
      <c r="M33" s="13">
        <f>Tableau2[[#This Row],[y]]-Tableau2[[#This Row],[height]]/2</f>
        <v>0</v>
      </c>
      <c r="N33" s="13">
        <f>Tableau2[[#This Row],[dx]]</f>
        <v>-370</v>
      </c>
    </row>
    <row r="34" spans="2:14">
      <c r="B34" s="17" t="s">
        <v>125</v>
      </c>
      <c r="C34" t="s">
        <v>107</v>
      </c>
      <c r="D34" s="30">
        <f>DEGREES(ATAN(Tableau2[[#This Row],[l]]*ρE))</f>
        <v>-13.395446418619677</v>
      </c>
      <c r="E34" s="30">
        <v>196.03</v>
      </c>
      <c r="F34" s="13">
        <v>613</v>
      </c>
      <c r="G34" s="13"/>
      <c r="H34" s="13">
        <f>w</f>
        <v>1920</v>
      </c>
      <c r="I34" s="13"/>
      <c r="J34" s="30">
        <f>Tableau2[[#This Row],[dir]]-Tableau2[[#This Row],[α]]</f>
        <v>209.42544641861969</v>
      </c>
      <c r="K34" s="30">
        <f>Tableau2[[#This Row],[dirC]]-Tableau2[[#Totals],[dirC]]</f>
        <v>0.48161532197835299</v>
      </c>
      <c r="L34" s="13">
        <f>Tableau2[[#This Row],[x]]-Tableau2[[#This Row],[width]]/2</f>
        <v>-347</v>
      </c>
      <c r="M34" s="13">
        <f>Tableau2[[#This Row],[y]]-Tableau2[[#This Row],[height]]/2</f>
        <v>0</v>
      </c>
      <c r="N34" s="13">
        <f>Tableau2[[#This Row],[dx]]</f>
        <v>-347</v>
      </c>
    </row>
    <row r="35" spans="2:14">
      <c r="B35" s="17" t="s">
        <v>125</v>
      </c>
      <c r="C35" s="17" t="s">
        <v>111</v>
      </c>
      <c r="D35" s="30">
        <f>DEGREES(ATAN(Tableau2[[#This Row],[l]]*ρE))</f>
        <v>-8.2012870053680356</v>
      </c>
      <c r="E35" s="30">
        <v>201.65</v>
      </c>
      <c r="F35" s="13">
        <v>750</v>
      </c>
      <c r="G35" s="13"/>
      <c r="H35" s="13">
        <f>w</f>
        <v>1920</v>
      </c>
      <c r="I35" s="13"/>
      <c r="J35" s="30">
        <f>Tableau2[[#This Row],[dir]]-Tableau2[[#This Row],[α]]</f>
        <v>209.85128700536805</v>
      </c>
      <c r="K35" s="30">
        <f>Tableau2[[#This Row],[dirC]]-Tableau2[[#Totals],[dirC]]</f>
        <v>0.90745590872671755</v>
      </c>
      <c r="L35" s="13">
        <f>Tableau2[[#This Row],[x]]-Tableau2[[#This Row],[width]]/2</f>
        <v>-210</v>
      </c>
      <c r="M35" s="13">
        <f>Tableau2[[#This Row],[y]]-Tableau2[[#This Row],[height]]/2</f>
        <v>0</v>
      </c>
      <c r="N35" s="13">
        <f>Tableau2[[#This Row],[dx]]</f>
        <v>-210</v>
      </c>
    </row>
    <row r="36" spans="2:14">
      <c r="B36" s="17" t="s">
        <v>125</v>
      </c>
      <c r="C36" t="s">
        <v>108</v>
      </c>
      <c r="D36" s="30">
        <f>DEGREES(ATAN(Tableau2[[#This Row],[l]]*ρE))</f>
        <v>-7.0424011584949886</v>
      </c>
      <c r="E36" s="30">
        <v>202.84</v>
      </c>
      <c r="F36" s="13">
        <v>780</v>
      </c>
      <c r="G36" s="13"/>
      <c r="H36" s="13">
        <f>w</f>
        <v>1920</v>
      </c>
      <c r="I36" s="13"/>
      <c r="J36" s="30">
        <f>Tableau2[[#This Row],[dir]]-Tableau2[[#This Row],[α]]</f>
        <v>209.88240115849499</v>
      </c>
      <c r="K36" s="30">
        <f>Tableau2[[#This Row],[dirC]]-Tableau2[[#Totals],[dirC]]</f>
        <v>0.93857006185365321</v>
      </c>
      <c r="L36" s="13">
        <f>Tableau2[[#This Row],[x]]-Tableau2[[#This Row],[width]]/2</f>
        <v>-180</v>
      </c>
      <c r="M36" s="13">
        <f>Tableau2[[#This Row],[y]]-Tableau2[[#This Row],[height]]/2</f>
        <v>0</v>
      </c>
      <c r="N36" s="13">
        <f>Tableau2[[#This Row],[dx]]</f>
        <v>-180</v>
      </c>
    </row>
    <row r="37" spans="2:14">
      <c r="B37" s="17" t="s">
        <v>125</v>
      </c>
      <c r="C37" s="17" t="s">
        <v>126</v>
      </c>
      <c r="D37" s="30">
        <f>DEGREES(ATAN(Tableau2[[#This Row],[l]]*ρE))</f>
        <v>24.107284969136543</v>
      </c>
      <c r="E37" s="30">
        <v>235.85</v>
      </c>
      <c r="F37" s="13">
        <v>1612</v>
      </c>
      <c r="G37" s="13"/>
      <c r="H37" s="13">
        <f>w</f>
        <v>1920</v>
      </c>
      <c r="I37" s="13"/>
      <c r="J37" s="30">
        <f>Tableau2[[#This Row],[dir]]-Tableau2[[#This Row],[α]]</f>
        <v>211.74271503086345</v>
      </c>
      <c r="K37" s="30">
        <f>Tableau2[[#This Row],[dirC]]-Tableau2[[#Totals],[dirC]]</f>
        <v>2.7988839342221183</v>
      </c>
      <c r="L37" s="13">
        <f>Tableau2[[#This Row],[x]]-Tableau2[[#This Row],[width]]/2</f>
        <v>652</v>
      </c>
      <c r="M37" s="13">
        <f>Tableau2[[#This Row],[y]]-Tableau2[[#This Row],[height]]/2</f>
        <v>0</v>
      </c>
      <c r="N37" s="13">
        <f>Tableau2[[#This Row],[dx]]</f>
        <v>652</v>
      </c>
    </row>
    <row r="38" spans="2:14">
      <c r="B38" s="17" t="s">
        <v>125</v>
      </c>
      <c r="C38" t="s">
        <v>127</v>
      </c>
      <c r="D38" s="30">
        <f>DEGREES(ATAN(Tableau2[[#This Row],[l]]*ρE))</f>
        <v>25.788084157397375</v>
      </c>
      <c r="E38" s="30">
        <v>238.09</v>
      </c>
      <c r="F38" s="13">
        <v>1664</v>
      </c>
      <c r="G38" s="13"/>
      <c r="H38" s="13">
        <f>w</f>
        <v>1920</v>
      </c>
      <c r="I38" s="13"/>
      <c r="J38" s="30">
        <f>Tableau2[[#This Row],[dir]]-Tableau2[[#This Row],[α]]</f>
        <v>212.30191584260263</v>
      </c>
      <c r="K38" s="30">
        <f>Tableau2[[#This Row],[dirC]]-Tableau2[[#Totals],[dirC]]</f>
        <v>3.3580847459612926</v>
      </c>
      <c r="L38" s="13">
        <f>Tableau2[[#This Row],[x]]-Tableau2[[#This Row],[width]]/2</f>
        <v>704</v>
      </c>
      <c r="M38" s="13">
        <f>Tableau2[[#This Row],[y]]-Tableau2[[#This Row],[height]]/2</f>
        <v>0</v>
      </c>
      <c r="N38" s="13">
        <f>Tableau2[[#This Row],[dx]]</f>
        <v>704</v>
      </c>
    </row>
    <row r="39" spans="2:14">
      <c r="B39" s="17" t="s">
        <v>125</v>
      </c>
      <c r="C39" t="s">
        <v>129</v>
      </c>
      <c r="D39" s="30">
        <f>DEGREES(ATAN(Tableau2[[#This Row],[l]]*ρE))</f>
        <v>0.58981928498443648</v>
      </c>
      <c r="E39" s="30">
        <v>206.74</v>
      </c>
      <c r="F39" s="13">
        <v>975</v>
      </c>
      <c r="G39" s="13"/>
      <c r="H39" s="13">
        <f>w</f>
        <v>1920</v>
      </c>
      <c r="I39" s="13"/>
      <c r="J39" s="30">
        <f>Tableau2[[#This Row],[dir]]-Tableau2[[#This Row],[α]]</f>
        <v>206.15018071501558</v>
      </c>
      <c r="K39" s="30">
        <f>Tableau2[[#This Row],[dirC]]-Tableau2[[#Totals],[dirC]]</f>
        <v>-2.7936503816257527</v>
      </c>
      <c r="L39" s="13">
        <f>Tableau2[[#This Row],[x]]-Tableau2[[#This Row],[width]]/2</f>
        <v>15</v>
      </c>
      <c r="M39" s="13">
        <f>Tableau2[[#This Row],[y]]-Tableau2[[#This Row],[height]]/2</f>
        <v>0</v>
      </c>
      <c r="N39" s="13">
        <f>Tableau2[[#This Row],[dx]]</f>
        <v>15</v>
      </c>
    </row>
    <row r="40" spans="2:14">
      <c r="B40" t="s">
        <v>99</v>
      </c>
      <c r="J40" s="25">
        <f>SUBTOTAL(101,[dirC])</f>
        <v>208.94383109664133</v>
      </c>
      <c r="K40" s="25">
        <f>SUBTOTAL(107,[dirC])</f>
        <v>2.1288914357184496</v>
      </c>
      <c r="N40" s="9"/>
    </row>
    <row r="42" spans="2:14">
      <c r="B42" t="s">
        <v>123</v>
      </c>
      <c r="F42">
        <v>1173</v>
      </c>
    </row>
    <row r="43" spans="2:14">
      <c r="B43" t="s">
        <v>124</v>
      </c>
      <c r="F43">
        <v>1187</v>
      </c>
    </row>
    <row r="44" spans="2:14">
      <c r="G44" s="25"/>
    </row>
    <row r="45" spans="2:14">
      <c r="E45" s="25"/>
    </row>
  </sheetData>
  <conditionalFormatting sqref="K4:K39">
    <cfRule type="colorScale" priority="4">
      <colorScale>
        <cfvo type="num" val="-$K$40*2"/>
        <cfvo type="num" val="0"/>
        <cfvo type="num" val="$K$40*2"/>
        <color rgb="FFF8696B"/>
        <color rgb="FF63BE7B"/>
        <color rgb="FFF8696B"/>
      </colorScale>
    </cfRule>
  </conditionalFormatting>
  <dataValidations count="4">
    <dataValidation type="whole" operator="greaterThan" showInputMessage="1" showErrorMessage="1" sqref="H4:H39">
      <formula1>0</formula1>
    </dataValidation>
    <dataValidation operator="greaterThan" showInputMessage="1" showErrorMessage="1" sqref="I4:I39"/>
    <dataValidation type="decimal" showInputMessage="1" showErrorMessage="1" sqref="E4:E39">
      <formula1>0</formula1>
      <formula2>360</formula2>
    </dataValidation>
    <dataValidation type="whole" operator="greaterThan" allowBlank="1" showInputMessage="1" showErrorMessage="1" sqref="F4:F39">
      <formula1>0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37</vt:i4>
      </vt:variant>
    </vt:vector>
  </HeadingPairs>
  <TitlesOfParts>
    <vt:vector size="41" baseType="lpstr">
      <vt:lpstr>Formules</vt:lpstr>
      <vt:lpstr>Calculs Rova</vt:lpstr>
      <vt:lpstr>Coords</vt:lpstr>
      <vt:lpstr>Radiateur</vt:lpstr>
      <vt:lpstr>a</vt:lpstr>
      <vt:lpstr>a_prime</vt:lpstr>
      <vt:lpstr>a0</vt:lpstr>
      <vt:lpstr>angle</vt:lpstr>
      <vt:lpstr>b</vt:lpstr>
      <vt:lpstr>b_prime</vt:lpstr>
      <vt:lpstr>ccd</vt:lpstr>
      <vt:lpstr>centre_direction</vt:lpstr>
      <vt:lpstr>conv_deg_px</vt:lpstr>
      <vt:lpstr>conv_px_deg</vt:lpstr>
      <vt:lpstr>d</vt:lpstr>
      <vt:lpstr>e</vt:lpstr>
      <vt:lpstr>f</vt:lpstr>
      <vt:lpstr>h</vt:lpstr>
      <vt:lpstr>lE</vt:lpstr>
      <vt:lpstr>t</vt:lpstr>
      <vt:lpstr>tMax</vt:lpstr>
      <vt:lpstr>tR</vt:lpstr>
      <vt:lpstr>tRTém</vt:lpstr>
      <vt:lpstr>tTém</vt:lpstr>
      <vt:lpstr>w</vt:lpstr>
      <vt:lpstr>x</vt:lpstr>
      <vt:lpstr>x_1</vt:lpstr>
      <vt:lpstr>x_2</vt:lpstr>
      <vt:lpstr>x_3</vt:lpstr>
      <vt:lpstr>x_4</vt:lpstr>
      <vt:lpstr>xmax</vt:lpstr>
      <vt:lpstr>xmin</vt:lpstr>
      <vt:lpstr>y</vt:lpstr>
      <vt:lpstr>y_1</vt:lpstr>
      <vt:lpstr>y_2</vt:lpstr>
      <vt:lpstr>y_3</vt:lpstr>
      <vt:lpstr>y_4</vt:lpstr>
      <vt:lpstr>ymax</vt:lpstr>
      <vt:lpstr>ymin</vt:lpstr>
      <vt:lpstr>αE</vt:lpstr>
      <vt:lpstr>ρE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LAVIGNE Mathieu (mlavigne)</dc:creator>
  <cp:lastModifiedBy>LAVIGNE Mathieu (mlavigne)</cp:lastModifiedBy>
  <dcterms:created xsi:type="dcterms:W3CDTF">2015-02-24T15:40:44Z</dcterms:created>
  <dcterms:modified xsi:type="dcterms:W3CDTF">2015-04-17T17:07:09Z</dcterms:modified>
</cp:coreProperties>
</file>