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3910" windowHeight="10155" activeTab="1"/>
  </bookViews>
  <sheets>
    <sheet name="Formules" sheetId="1" r:id="rId1"/>
    <sheet name="Calculs Rova" sheetId="2" r:id="rId2"/>
    <sheet name="Coords" sheetId="3" r:id="rId3"/>
  </sheets>
  <definedNames>
    <definedName name="a">Coords!$D$16</definedName>
    <definedName name="a_prime">Coords!$G$16</definedName>
    <definedName name="a0">Formules!$C$17</definedName>
    <definedName name="angle">Formules!$E$4</definedName>
    <definedName name="b">Coords!$D$17</definedName>
    <definedName name="b_prime">Coords!$G$17</definedName>
    <definedName name="ccd">Formules!$C$2</definedName>
    <definedName name="centre_direction">'Calculs Rova'!$P$3</definedName>
    <definedName name="conv_deg_px">Formules!$H$4</definedName>
    <definedName name="conv_px_deg">Formules!$J$4</definedName>
    <definedName name="d">Formules!$C$7</definedName>
    <definedName name="e">Formules!$H$5</definedName>
    <definedName name="f">Formules!$C$3</definedName>
    <definedName name="h">Coords!$D$10</definedName>
    <definedName name="t">Formules!$C$8</definedName>
    <definedName name="tMax">Formules!$C$4</definedName>
    <definedName name="tR">Formules!$C$9</definedName>
    <definedName name="tRTém">Formules!$C$6</definedName>
    <definedName name="tTém">Formules!$C$5</definedName>
    <definedName name="x">Coords!$D$18</definedName>
    <definedName name="x_1">Coords!$D$6</definedName>
    <definedName name="x_2">Coords!$D$8</definedName>
    <definedName name="x_3">Coords!$G$6</definedName>
    <definedName name="x_4">Coords!$G$8</definedName>
    <definedName name="xmax">Coords!$D$13</definedName>
    <definedName name="xmin">Coords!$D$11</definedName>
    <definedName name="y">Coords!$D$20</definedName>
    <definedName name="y_1">Coords!$D$7</definedName>
    <definedName name="y_2">Coords!$D$9</definedName>
    <definedName name="y_3">Coords!$G$7</definedName>
    <definedName name="y_4">Coords!$G$9</definedName>
    <definedName name="ymax">Coords!$D$14</definedName>
    <definedName name="ymin">Coords!$D$12</definedName>
  </definedNames>
  <calcPr calcId="125725"/>
</workbook>
</file>

<file path=xl/calcChain.xml><?xml version="1.0" encoding="utf-8"?>
<calcChain xmlns="http://schemas.openxmlformats.org/spreadsheetml/2006/main">
  <c r="F9" i="2"/>
  <c r="H9" s="1"/>
  <c r="I9"/>
  <c r="J9" s="1"/>
  <c r="F10"/>
  <c r="H10" s="1"/>
  <c r="I10"/>
  <c r="J10" s="1"/>
  <c r="G17" i="3"/>
  <c r="D17"/>
  <c r="D16" s="1"/>
  <c r="D19" s="1"/>
  <c r="D11"/>
  <c r="D13" s="1"/>
  <c r="D14"/>
  <c r="F15" i="2"/>
  <c r="H15" s="1"/>
  <c r="I15"/>
  <c r="F16"/>
  <c r="G16" s="1"/>
  <c r="E16" s="1"/>
  <c r="I16"/>
  <c r="J16" s="1"/>
  <c r="F8"/>
  <c r="H8" s="1"/>
  <c r="I8"/>
  <c r="J8" s="1"/>
  <c r="F4"/>
  <c r="H4" s="1"/>
  <c r="I4"/>
  <c r="F22"/>
  <c r="H22" s="1"/>
  <c r="I22"/>
  <c r="F23"/>
  <c r="H23" s="1"/>
  <c r="I23"/>
  <c r="F21"/>
  <c r="H21" s="1"/>
  <c r="I21"/>
  <c r="J21" s="1"/>
  <c r="F11"/>
  <c r="H11" s="1"/>
  <c r="I11"/>
  <c r="J11" s="1"/>
  <c r="F13"/>
  <c r="G13" s="1"/>
  <c r="E13" s="1"/>
  <c r="I13"/>
  <c r="J13" s="1"/>
  <c r="P4"/>
  <c r="I17"/>
  <c r="J17" s="1"/>
  <c r="I14"/>
  <c r="J14" s="1"/>
  <c r="I18"/>
  <c r="J18" s="1"/>
  <c r="I19"/>
  <c r="J19" s="1"/>
  <c r="I20"/>
  <c r="J20" s="1"/>
  <c r="I12"/>
  <c r="J12" s="1"/>
  <c r="I6"/>
  <c r="J6" s="1"/>
  <c r="F20"/>
  <c r="H20" s="1"/>
  <c r="F19"/>
  <c r="H19" s="1"/>
  <c r="F18"/>
  <c r="H18" s="1"/>
  <c r="F17"/>
  <c r="H17" s="1"/>
  <c r="F14"/>
  <c r="H14" s="1"/>
  <c r="F12"/>
  <c r="H12" s="1"/>
  <c r="F6"/>
  <c r="H6" s="1"/>
  <c r="G25" i="1"/>
  <c r="G26" s="1"/>
  <c r="K9" i="2" l="1"/>
  <c r="G9"/>
  <c r="E9" s="1"/>
  <c r="M9" s="1"/>
  <c r="L9"/>
  <c r="K10"/>
  <c r="G10"/>
  <c r="E10" s="1"/>
  <c r="M10" s="1"/>
  <c r="L10"/>
  <c r="G16" i="3"/>
  <c r="D21"/>
  <c r="H16" i="2"/>
  <c r="K16"/>
  <c r="L16"/>
  <c r="M16"/>
  <c r="L15"/>
  <c r="K15"/>
  <c r="G15"/>
  <c r="E15" s="1"/>
  <c r="M15" s="1"/>
  <c r="J15"/>
  <c r="G8"/>
  <c r="E8" s="1"/>
  <c r="M8" s="1"/>
  <c r="K8"/>
  <c r="L8"/>
  <c r="L4"/>
  <c r="J4"/>
  <c r="K4"/>
  <c r="G4"/>
  <c r="E4" s="1"/>
  <c r="M4" s="1"/>
  <c r="L22"/>
  <c r="J22"/>
  <c r="K22"/>
  <c r="G22"/>
  <c r="E22" s="1"/>
  <c r="M22" s="1"/>
  <c r="L23"/>
  <c r="J23"/>
  <c r="K23"/>
  <c r="G23"/>
  <c r="E23" s="1"/>
  <c r="M23" s="1"/>
  <c r="K21"/>
  <c r="G21"/>
  <c r="E21" s="1"/>
  <c r="M21" s="1"/>
  <c r="L21"/>
  <c r="K13"/>
  <c r="K12"/>
  <c r="H13"/>
  <c r="G12"/>
  <c r="E12" s="1"/>
  <c r="M12" s="1"/>
  <c r="K18"/>
  <c r="G18"/>
  <c r="E18" s="1"/>
  <c r="M18" s="1"/>
  <c r="K11"/>
  <c r="L11"/>
  <c r="G11"/>
  <c r="E11" s="1"/>
  <c r="M11" s="1"/>
  <c r="L13"/>
  <c r="M13"/>
  <c r="L17"/>
  <c r="L6"/>
  <c r="L19"/>
  <c r="G6"/>
  <c r="E6" s="1"/>
  <c r="M6" s="1"/>
  <c r="G19"/>
  <c r="E19" s="1"/>
  <c r="M19" s="1"/>
  <c r="L20"/>
  <c r="G20"/>
  <c r="E20" s="1"/>
  <c r="M20" s="1"/>
  <c r="G17"/>
  <c r="E17" s="1"/>
  <c r="M17" s="1"/>
  <c r="L14"/>
  <c r="G14"/>
  <c r="E14" s="1"/>
  <c r="M14" s="1"/>
  <c r="L12"/>
  <c r="L18"/>
  <c r="K20"/>
  <c r="K17"/>
  <c r="K14"/>
  <c r="K6"/>
  <c r="K19"/>
  <c r="J4" i="1"/>
  <c r="H4"/>
  <c r="E4"/>
  <c r="J8" s="1"/>
  <c r="G18" i="3" l="1"/>
  <c r="G19" s="1"/>
  <c r="E16" i="1"/>
  <c r="C17" s="1"/>
  <c r="E8"/>
  <c r="J5"/>
  <c r="J9"/>
  <c r="E5"/>
  <c r="C18" l="1"/>
  <c r="E19"/>
  <c r="G19" s="1"/>
  <c r="C7"/>
  <c r="H6"/>
  <c r="H7"/>
  <c r="C9" l="1"/>
  <c r="H9"/>
  <c r="H8"/>
</calcChain>
</file>

<file path=xl/sharedStrings.xml><?xml version="1.0" encoding="utf-8"?>
<sst xmlns="http://schemas.openxmlformats.org/spreadsheetml/2006/main" count="108" uniqueCount="80">
  <si>
    <t>Largeur CCD</t>
  </si>
  <si>
    <t>Longueur focale</t>
  </si>
  <si>
    <t>Distance du sujet</t>
  </si>
  <si>
    <t>Taille du sujet</t>
  </si>
  <si>
    <t>Taille de l'image</t>
  </si>
  <si>
    <t>mm</t>
  </si>
  <si>
    <t>px</t>
  </si>
  <si>
    <t>m</t>
  </si>
  <si>
    <t>Taille réelle</t>
  </si>
  <si>
    <t>°</t>
  </si>
  <si>
    <t>Taille du témoin</t>
  </si>
  <si>
    <t>Marge d'erreur</t>
  </si>
  <si>
    <t>Distance min.</t>
  </si>
  <si>
    <t>Distance max.</t>
  </si>
  <si>
    <t>Taille min.</t>
  </si>
  <si>
    <t>Taille max.</t>
  </si>
  <si>
    <t>Orientation</t>
  </si>
  <si>
    <t>Direction repère</t>
  </si>
  <si>
    <t>Bord du lac à droite sur la photo</t>
  </si>
  <si>
    <t>x sur la photo</t>
  </si>
  <si>
    <t>Orientation bord gauche</t>
  </si>
  <si>
    <t>Orientation bord droit</t>
  </si>
  <si>
    <t>Soit</t>
  </si>
  <si>
    <t>px/°</t>
  </si>
  <si>
    <t>°/px</t>
  </si>
  <si>
    <t>x</t>
  </si>
  <si>
    <t>direction</t>
  </si>
  <si>
    <t>dx</t>
  </si>
  <si>
    <t>abs(dx)</t>
  </si>
  <si>
    <t>Centre ?</t>
  </si>
  <si>
    <t>d. dir.</t>
  </si>
  <si>
    <t>dpx / d°</t>
  </si>
  <si>
    <t>d° / dpx %</t>
  </si>
  <si>
    <t>pos.</t>
  </si>
  <si>
    <t>angle théoriq.</t>
  </si>
  <si>
    <t>Angle max th.</t>
  </si>
  <si>
    <t>correction angulaire</t>
  </si>
  <si>
    <t>Nom</t>
  </si>
  <si>
    <t>Cabane foot</t>
  </si>
  <si>
    <t>Arbre hypodrome</t>
  </si>
  <si>
    <t>abs(ddir)</t>
  </si>
  <si>
    <t>Bord droit de l'immeuble derrière le stade tout à droite</t>
  </si>
  <si>
    <t>Bord droit de la maison au toit en tuile à l'extrême droit</t>
  </si>
  <si>
    <t>Bord gauche de la maison au toit en tuile à l'extrême droit</t>
  </si>
  <si>
    <t>Bord gauche de l'usine devant le lac Anda.</t>
  </si>
  <si>
    <t>Bord droit de l'usine devant le lac Anda.</t>
  </si>
  <si>
    <t>Bord gauche de l'immeuble à droite de l'hypo</t>
  </si>
  <si>
    <t>Bord droit de l'immeuble à droite de l'hypo</t>
  </si>
  <si>
    <t>67 ha Sud</t>
  </si>
  <si>
    <t>Prolonger une ligne</t>
  </si>
  <si>
    <t>x1</t>
  </si>
  <si>
    <t>y1</t>
  </si>
  <si>
    <t>x2</t>
  </si>
  <si>
    <t>y2</t>
  </si>
  <si>
    <t>h</t>
  </si>
  <si>
    <t>xmin</t>
  </si>
  <si>
    <t>ymin</t>
  </si>
  <si>
    <t>xmax</t>
  </si>
  <si>
    <t>ymax</t>
  </si>
  <si>
    <t>y = ax + b</t>
  </si>
  <si>
    <t>a</t>
  </si>
  <si>
    <t>b</t>
  </si>
  <si>
    <t>f(x)</t>
  </si>
  <si>
    <t>y</t>
  </si>
  <si>
    <t>f(y)</t>
  </si>
  <si>
    <t>y = a'x + b'</t>
  </si>
  <si>
    <t>a'</t>
  </si>
  <si>
    <t>b'</t>
  </si>
  <si>
    <t>xinter</t>
  </si>
  <si>
    <t>yinter</t>
  </si>
  <si>
    <t>x3</t>
  </si>
  <si>
    <t>y3</t>
  </si>
  <si>
    <t>nom</t>
  </si>
  <si>
    <t>Arr AndaD</t>
  </si>
  <si>
    <t>sombre Anda A</t>
  </si>
  <si>
    <t>Colonne1</t>
  </si>
  <si>
    <t>Lac Anda. A bottom-left</t>
  </si>
  <si>
    <t>Lac Anda. B top-left</t>
  </si>
  <si>
    <t>Lac Anda. C bottom-right</t>
  </si>
  <si>
    <t>Lac Anda. D top-right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</si>
</sst>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&quot; px&quot;"/>
    <numFmt numFmtId="166" formatCode="0.00&quot;°&quot;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0" borderId="1" xfId="0" applyBorder="1"/>
    <xf numFmtId="2" fontId="0" fillId="0" borderId="1" xfId="0" applyNumberFormat="1" applyBorder="1"/>
    <xf numFmtId="0" fontId="0" fillId="2" borderId="1" xfId="0" applyNumberFormat="1" applyFill="1" applyBorder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0" fillId="0" borderId="0" xfId="1" applyFont="1"/>
    <xf numFmtId="0" fontId="0" fillId="0" borderId="0" xfId="0" applyNumberFormat="1"/>
    <xf numFmtId="165" fontId="0" fillId="0" borderId="0" xfId="0" applyNumberFormat="1" applyBorder="1"/>
    <xf numFmtId="166" fontId="0" fillId="0" borderId="0" xfId="0" applyNumberFormat="1" applyBorder="1"/>
    <xf numFmtId="9" fontId="0" fillId="0" borderId="0" xfId="1" applyFont="1" applyBorder="1"/>
    <xf numFmtId="0" fontId="0" fillId="0" borderId="0" xfId="0" applyNumberFormat="1" applyBorder="1"/>
    <xf numFmtId="0" fontId="0" fillId="0" borderId="0" xfId="0" applyBorder="1"/>
    <xf numFmtId="0" fontId="3" fillId="0" borderId="0" xfId="0" applyFont="1" applyBorder="1"/>
    <xf numFmtId="0" fontId="2" fillId="0" borderId="0" xfId="0" applyFont="1"/>
    <xf numFmtId="0" fontId="0" fillId="3" borderId="0" xfId="0" applyFill="1"/>
    <xf numFmtId="0" fontId="0" fillId="4" borderId="0" xfId="0" applyFill="1"/>
  </cellXfs>
  <cellStyles count="2">
    <cellStyle name="Normal" xfId="0" builtinId="0"/>
    <cellStyle name="Pourcentage" xfId="1" builtinId="5"/>
  </cellStyles>
  <dxfs count="12">
    <dxf>
      <numFmt numFmtId="165" formatCode="0&quot; px&quot;"/>
    </dxf>
    <dxf>
      <numFmt numFmtId="0" formatCode="General"/>
    </dxf>
    <dxf>
      <numFmt numFmtId="166" formatCode="0.00&quot;°&quot;"/>
    </dxf>
    <dxf>
      <numFmt numFmtId="165" formatCode="0&quot; px&quot;"/>
    </dxf>
    <dxf>
      <numFmt numFmtId="166" formatCode="0.00&quot;°&quot;"/>
    </dxf>
    <dxf>
      <numFmt numFmtId="166" formatCode="0.00&quot;°&quot;"/>
    </dxf>
    <dxf>
      <numFmt numFmtId="165" formatCode="0&quot; px&quot;"/>
    </dxf>
    <dxf>
      <numFmt numFmtId="165" formatCode="0&quot; px&quot;"/>
    </dxf>
    <dxf>
      <numFmt numFmtId="166" formatCode="0.00&quot;°&quot;"/>
    </dxf>
    <dxf>
      <numFmt numFmtId="166" formatCode="0.00&quot;°&quot;"/>
    </dxf>
    <dxf>
      <numFmt numFmtId="165" formatCode="0&quot; px&quot;"/>
    </dxf>
    <dxf>
      <font>
        <b/>
        <i val="0"/>
        <color rgb="FFFF0000"/>
      </font>
    </dxf>
  </dxfs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smoothMarker"/>
        <c:ser>
          <c:idx val="0"/>
          <c:order val="0"/>
          <c:xVal>
            <c:numRef>
              <c:f>'Calculs Rova'!$H$4:$H$19</c:f>
              <c:numCache>
                <c:formatCode>0" px"</c:formatCode>
                <c:ptCount val="16"/>
                <c:pt idx="0">
                  <c:v>708</c:v>
                </c:pt>
                <c:pt idx="2">
                  <c:v>708</c:v>
                </c:pt>
                <c:pt idx="4">
                  <c:v>626</c:v>
                </c:pt>
                <c:pt idx="5">
                  <c:v>633</c:v>
                </c:pt>
                <c:pt idx="6">
                  <c:v>642</c:v>
                </c:pt>
                <c:pt idx="7">
                  <c:v>533</c:v>
                </c:pt>
                <c:pt idx="8">
                  <c:v>333</c:v>
                </c:pt>
                <c:pt idx="9">
                  <c:v>283</c:v>
                </c:pt>
                <c:pt idx="10">
                  <c:v>205</c:v>
                </c:pt>
                <c:pt idx="11">
                  <c:v>197</c:v>
                </c:pt>
                <c:pt idx="12">
                  <c:v>171</c:v>
                </c:pt>
                <c:pt idx="13">
                  <c:v>165</c:v>
                </c:pt>
                <c:pt idx="14">
                  <c:v>205</c:v>
                </c:pt>
                <c:pt idx="15">
                  <c:v>283</c:v>
                </c:pt>
              </c:numCache>
            </c:numRef>
          </c:xVal>
          <c:yVal>
            <c:numRef>
              <c:f>'Calculs Rova'!$M$4:$M$19</c:f>
              <c:numCache>
                <c:formatCode>General</c:formatCode>
                <c:ptCount val="16"/>
                <c:pt idx="0">
                  <c:v>1.0978348910402234</c:v>
                </c:pt>
                <c:pt idx="2">
                  <c:v>1.0560053662690327</c:v>
                </c:pt>
                <c:pt idx="4">
                  <c:v>1.1203582009366222</c:v>
                </c:pt>
                <c:pt idx="5">
                  <c:v>1.0848493484354826</c:v>
                </c:pt>
                <c:pt idx="6">
                  <c:v>1.0490189366506939</c:v>
                </c:pt>
                <c:pt idx="7">
                  <c:v>1.1168247675681888</c:v>
                </c:pt>
                <c:pt idx="8">
                  <c:v>1.1221960499794472</c:v>
                </c:pt>
                <c:pt idx="9">
                  <c:v>1.1254386150162752</c:v>
                </c:pt>
                <c:pt idx="10">
                  <c:v>1.1688523347592887</c:v>
                </c:pt>
                <c:pt idx="11">
                  <c:v>1.1657523727695369</c:v>
                </c:pt>
                <c:pt idx="12">
                  <c:v>1.1902801421972211</c:v>
                </c:pt>
                <c:pt idx="13">
                  <c:v>1.2025608103310024</c:v>
                </c:pt>
                <c:pt idx="14">
                  <c:v>1.1675390175292308</c:v>
                </c:pt>
                <c:pt idx="15">
                  <c:v>1.1254386150162807</c:v>
                </c:pt>
              </c:numCache>
            </c:numRef>
          </c:yVal>
          <c:smooth val="1"/>
        </c:ser>
        <c:axId val="69837952"/>
        <c:axId val="69840256"/>
      </c:scatterChart>
      <c:valAx>
        <c:axId val="69837952"/>
        <c:scaling>
          <c:orientation val="minMax"/>
        </c:scaling>
        <c:axPos val="b"/>
        <c:numFmt formatCode="0&quot; px&quot;" sourceLinked="1"/>
        <c:tickLblPos val="nextTo"/>
        <c:crossAx val="69840256"/>
        <c:crosses val="autoZero"/>
        <c:crossBetween val="midCat"/>
      </c:valAx>
      <c:valAx>
        <c:axId val="69840256"/>
        <c:scaling>
          <c:orientation val="minMax"/>
        </c:scaling>
        <c:axPos val="l"/>
        <c:majorGridlines/>
        <c:numFmt formatCode="General" sourceLinked="1"/>
        <c:tickLblPos val="nextTo"/>
        <c:crossAx val="698379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9</xdr:row>
      <xdr:rowOff>76200</xdr:rowOff>
    </xdr:from>
    <xdr:to>
      <xdr:col>19</xdr:col>
      <xdr:colOff>704850</xdr:colOff>
      <xdr:row>23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3:M23" totalsRowShown="0">
  <autoFilter ref="A3:M23">
    <filterColumn colId="0"/>
    <filterColumn colId="2"/>
    <filterColumn colId="4"/>
    <filterColumn colId="6"/>
    <filterColumn colId="8"/>
    <filterColumn colId="9"/>
    <filterColumn colId="10"/>
    <filterColumn colId="11"/>
    <filterColumn colId="12"/>
  </autoFilter>
  <sortState ref="A4:M23">
    <sortCondition ref="D3:D23"/>
  </sortState>
  <tableColumns count="13">
    <tableColumn id="11" name="Nom"/>
    <tableColumn id="1" name="x" dataDxfId="10"/>
    <tableColumn id="14" name="Colonne1" dataDxfId="0"/>
    <tableColumn id="2" name="direction" dataDxfId="9"/>
    <tableColumn id="9" name="angle théoriq." dataDxfId="8">
      <calculatedColumnFormula>Tableau1[[#This Row],[pos.]]*angle/2</calculatedColumnFormula>
    </tableColumn>
    <tableColumn id="3" name="dx" dataDxfId="7">
      <calculatedColumnFormula>B4-960</calculatedColumnFormula>
    </tableColumn>
    <tableColumn id="8" name="pos." dataCellStyle="Pourcentage">
      <calculatedColumnFormula>Tableau1[[#This Row],[dx]]/960</calculatedColumnFormula>
    </tableColumn>
    <tableColumn id="4" name="abs(dx)" dataDxfId="6">
      <calculatedColumnFormula>ABS(F4)</calculatedColumnFormula>
    </tableColumn>
    <tableColumn id="5" name="d. dir." dataDxfId="5">
      <calculatedColumnFormula>Tableau1[[#This Row],[direction]]-centre_direction</calculatedColumnFormula>
    </tableColumn>
    <tableColumn id="12" name="abs(ddir)" dataDxfId="4">
      <calculatedColumnFormula>ABS(Tableau1[[#This Row],[d. dir.]])</calculatedColumnFormula>
    </tableColumn>
    <tableColumn id="6" name="dpx / d°" dataDxfId="3">
      <calculatedColumnFormula>Tableau1[[#This Row],[dx]]/Tableau1[[#This Row],[d. dir.]]</calculatedColumnFormula>
    </tableColumn>
    <tableColumn id="7" name="d° / dpx %" dataDxfId="2">
      <calculatedColumnFormula>Tableau1[[#This Row],[d. dir.]]/Tableau1[[#This Row],[dx]]*100</calculatedColumnFormula>
    </tableColumn>
    <tableColumn id="10" name="correction angulaire" dataDxfId="1">
      <calculatedColumnFormula>Tableau1[[#This Row],[d. dir.]]/Tableau1[[#This Row],[angle théoriq.]]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26"/>
  <sheetViews>
    <sheetView workbookViewId="0">
      <selection activeCell="E4" sqref="E4"/>
    </sheetView>
  </sheetViews>
  <sheetFormatPr baseColWidth="10" defaultRowHeight="15"/>
  <cols>
    <col min="2" max="2" width="15.7109375" bestFit="1" customWidth="1"/>
    <col min="4" max="4" width="5.5703125" customWidth="1"/>
    <col min="5" max="5" width="9" customWidth="1"/>
    <col min="6" max="6" width="4.28515625" customWidth="1"/>
    <col min="7" max="7" width="15.42578125" customWidth="1"/>
    <col min="8" max="8" width="7" customWidth="1"/>
    <col min="9" max="9" width="4.85546875" customWidth="1"/>
    <col min="10" max="10" width="8.7109375" customWidth="1"/>
  </cols>
  <sheetData>
    <row r="2" spans="2:11">
      <c r="B2" t="s">
        <v>0</v>
      </c>
      <c r="C2" s="4">
        <v>6.17</v>
      </c>
    </row>
    <row r="3" spans="2:11">
      <c r="B3" s="5" t="s">
        <v>1</v>
      </c>
      <c r="C3" s="7">
        <v>4.3</v>
      </c>
      <c r="D3" s="5" t="s">
        <v>5</v>
      </c>
      <c r="E3" s="5"/>
      <c r="F3" s="5"/>
      <c r="G3" s="5"/>
      <c r="H3" s="5"/>
      <c r="I3" s="5"/>
      <c r="J3" s="5"/>
      <c r="K3" s="5"/>
    </row>
    <row r="4" spans="2:11">
      <c r="B4" t="s">
        <v>4</v>
      </c>
      <c r="C4" s="4">
        <v>1920</v>
      </c>
      <c r="D4" t="s">
        <v>6</v>
      </c>
      <c r="E4" s="2">
        <f>DEGREES(2*ATAN(ccd/(2*f)))</f>
        <v>71.314480950360249</v>
      </c>
      <c r="F4" t="s">
        <v>9</v>
      </c>
      <c r="G4" t="s">
        <v>22</v>
      </c>
      <c r="H4" s="8">
        <f>tMax/angle</f>
        <v>26.923003216365707</v>
      </c>
      <c r="I4" t="s">
        <v>23</v>
      </c>
      <c r="J4" s="1">
        <f>angle/tMax</f>
        <v>3.7142958828312631E-2</v>
      </c>
      <c r="K4" t="s">
        <v>24</v>
      </c>
    </row>
    <row r="5" spans="2:11">
      <c r="B5" t="s">
        <v>10</v>
      </c>
      <c r="C5" s="4">
        <v>252</v>
      </c>
      <c r="D5" t="s">
        <v>6</v>
      </c>
      <c r="E5" s="2">
        <f>tTém/tMax*angle</f>
        <v>9.3600256247347833</v>
      </c>
      <c r="F5" t="s">
        <v>9</v>
      </c>
      <c r="G5" t="s">
        <v>11</v>
      </c>
      <c r="H5" s="3">
        <v>5</v>
      </c>
      <c r="I5" t="s">
        <v>6</v>
      </c>
      <c r="J5" s="2">
        <f>e/tMax*angle</f>
        <v>0.18571479414156314</v>
      </c>
      <c r="K5" t="s">
        <v>9</v>
      </c>
    </row>
    <row r="6" spans="2:11">
      <c r="B6" t="s">
        <v>8</v>
      </c>
      <c r="C6" s="4">
        <v>1.6</v>
      </c>
      <c r="D6" t="s">
        <v>7</v>
      </c>
      <c r="E6" s="2"/>
      <c r="G6" t="s">
        <v>12</v>
      </c>
      <c r="H6" s="1">
        <f>tRTém/TAN(RADIANS((E5-J5)/2))</f>
        <v>19.942052842917739</v>
      </c>
      <c r="I6" t="s">
        <v>7</v>
      </c>
    </row>
    <row r="7" spans="2:11">
      <c r="B7" s="5" t="s">
        <v>2</v>
      </c>
      <c r="C7" s="6">
        <f>tRTém/TAN(RADIANS(E5/2))</f>
        <v>19.544664135323824</v>
      </c>
      <c r="D7" s="5" t="s">
        <v>7</v>
      </c>
      <c r="E7" s="5"/>
      <c r="F7" s="5"/>
      <c r="G7" s="5" t="s">
        <v>13</v>
      </c>
      <c r="H7" s="6">
        <f>tRTém/TAN(RADIANS((E5+J5)/2))</f>
        <v>19.162704300925121</v>
      </c>
      <c r="I7" s="5" t="s">
        <v>7</v>
      </c>
      <c r="J7" s="5"/>
      <c r="K7" s="5"/>
    </row>
    <row r="8" spans="2:11">
      <c r="B8" t="s">
        <v>3</v>
      </c>
      <c r="C8" s="4">
        <v>1360</v>
      </c>
      <c r="D8" t="s">
        <v>6</v>
      </c>
      <c r="E8" s="2">
        <f>t/tMax*angle</f>
        <v>50.51442400650518</v>
      </c>
      <c r="F8" t="s">
        <v>9</v>
      </c>
      <c r="G8" t="s">
        <v>14</v>
      </c>
      <c r="H8" s="1">
        <f>d*TAN(RADIANS(J8/2))</f>
        <v>9.1821734177757897</v>
      </c>
      <c r="I8" t="s">
        <v>7</v>
      </c>
      <c r="J8" s="2">
        <f>(t-e)/tMax*angle</f>
        <v>50.328709212363613</v>
      </c>
      <c r="K8" t="s">
        <v>9</v>
      </c>
    </row>
    <row r="9" spans="2:11">
      <c r="B9" t="s">
        <v>8</v>
      </c>
      <c r="C9" s="1">
        <f>d*TAN(RADIANS(E8/2))</f>
        <v>9.2208695922747506</v>
      </c>
      <c r="D9" t="s">
        <v>7</v>
      </c>
      <c r="G9" t="s">
        <v>15</v>
      </c>
      <c r="H9" s="1">
        <f>d*TAN(RADIANS(J9/2))</f>
        <v>9.2596249867380465</v>
      </c>
      <c r="I9" t="s">
        <v>7</v>
      </c>
      <c r="J9" s="2">
        <f>(t+e)/tMax*angle</f>
        <v>50.700138800646741</v>
      </c>
      <c r="K9" t="s">
        <v>9</v>
      </c>
    </row>
    <row r="15" spans="2:11">
      <c r="B15" t="s">
        <v>17</v>
      </c>
      <c r="C15" s="3">
        <v>273</v>
      </c>
      <c r="D15" t="s">
        <v>9</v>
      </c>
      <c r="E15" t="s">
        <v>18</v>
      </c>
    </row>
    <row r="16" spans="2:11">
      <c r="B16" t="s">
        <v>19</v>
      </c>
      <c r="C16" s="3">
        <v>252</v>
      </c>
      <c r="D16" t="s">
        <v>6</v>
      </c>
      <c r="E16" s="2">
        <f>C16/tMax*angle</f>
        <v>9.3600256247347833</v>
      </c>
      <c r="F16" t="s">
        <v>9</v>
      </c>
    </row>
    <row r="17" spans="2:7">
      <c r="B17" t="s">
        <v>20</v>
      </c>
      <c r="C17" s="2">
        <f>C15-E16</f>
        <v>263.63997437526524</v>
      </c>
      <c r="D17" t="s">
        <v>9</v>
      </c>
      <c r="E17" s="2"/>
    </row>
    <row r="18" spans="2:7">
      <c r="B18" t="s">
        <v>21</v>
      </c>
      <c r="C18" s="2">
        <f>a0+angle</f>
        <v>334.95445532562547</v>
      </c>
      <c r="D18" t="s">
        <v>9</v>
      </c>
      <c r="E18" s="2"/>
    </row>
    <row r="19" spans="2:7">
      <c r="B19" t="s">
        <v>16</v>
      </c>
      <c r="C19" s="3">
        <v>314.2</v>
      </c>
      <c r="D19" t="s">
        <v>9</v>
      </c>
      <c r="E19" s="8">
        <f>(C19-a0)*conv_deg_px</f>
        <v>1361.2277325142661</v>
      </c>
      <c r="F19" t="s">
        <v>6</v>
      </c>
      <c r="G19" s="8" t="str">
        <f>CONCATENATE("Déborde de ",ROUND(E19-tMax,0)," px")</f>
        <v>Déborde de -559 px</v>
      </c>
    </row>
    <row r="24" spans="2:7">
      <c r="G24">
        <v>270</v>
      </c>
    </row>
    <row r="25" spans="2:7">
      <c r="F25">
        <v>360</v>
      </c>
      <c r="G25">
        <f>MOD(G24,360)</f>
        <v>270</v>
      </c>
    </row>
    <row r="26" spans="2:7">
      <c r="F26">
        <v>180</v>
      </c>
      <c r="G26">
        <f>IF(G25&gt;=180,G25-360,G25)</f>
        <v>-90</v>
      </c>
    </row>
  </sheetData>
  <conditionalFormatting sqref="E19">
    <cfRule type="expression" dxfId="11" priority="1">
      <formula>E19&gt;$C$4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R23"/>
  <sheetViews>
    <sheetView tabSelected="1" workbookViewId="0">
      <selection activeCell="A10" sqref="A10"/>
    </sheetView>
  </sheetViews>
  <sheetFormatPr baseColWidth="10" defaultRowHeight="15"/>
  <cols>
    <col min="7" max="7" width="5.7109375" customWidth="1"/>
    <col min="8" max="8" width="7.42578125" customWidth="1"/>
    <col min="10" max="10" width="6.28515625" customWidth="1"/>
    <col min="15" max="15" width="13" customWidth="1"/>
  </cols>
  <sheetData>
    <row r="2" spans="1:18">
      <c r="B2" s="21"/>
      <c r="C2" s="21"/>
      <c r="D2" s="21"/>
    </row>
    <row r="3" spans="1:18">
      <c r="A3" t="s">
        <v>37</v>
      </c>
      <c r="B3" t="s">
        <v>25</v>
      </c>
      <c r="C3" t="s">
        <v>75</v>
      </c>
      <c r="D3" t="s">
        <v>26</v>
      </c>
      <c r="E3" t="s">
        <v>34</v>
      </c>
      <c r="F3" t="s">
        <v>27</v>
      </c>
      <c r="G3" t="s">
        <v>33</v>
      </c>
      <c r="H3" t="s">
        <v>28</v>
      </c>
      <c r="I3" t="s">
        <v>30</v>
      </c>
      <c r="J3" t="s">
        <v>40</v>
      </c>
      <c r="K3" t="s">
        <v>31</v>
      </c>
      <c r="L3" t="s">
        <v>32</v>
      </c>
      <c r="M3" t="s">
        <v>36</v>
      </c>
      <c r="O3" t="s">
        <v>29</v>
      </c>
      <c r="P3">
        <v>300.77</v>
      </c>
      <c r="Q3" t="s">
        <v>9</v>
      </c>
      <c r="R3" t="s">
        <v>48</v>
      </c>
    </row>
    <row r="4" spans="1:18">
      <c r="A4" s="17" t="s">
        <v>44</v>
      </c>
      <c r="B4" s="13">
        <v>252</v>
      </c>
      <c r="C4" s="13"/>
      <c r="D4" s="14">
        <v>271.89999999999998</v>
      </c>
      <c r="E4" s="14">
        <f>Tableau1[[#This Row],[pos.]]*angle/2</f>
        <v>-26.297214850445343</v>
      </c>
      <c r="F4" s="13">
        <f>B4-960</f>
        <v>-708</v>
      </c>
      <c r="G4" s="15">
        <f>Tableau1[[#This Row],[dx]]/960</f>
        <v>-0.73750000000000004</v>
      </c>
      <c r="H4" s="13">
        <f>ABS(F4)</f>
        <v>708</v>
      </c>
      <c r="I4" s="14">
        <f>Tableau1[[#This Row],[direction]]-centre_direction</f>
        <v>-28.870000000000005</v>
      </c>
      <c r="J4" s="14">
        <f>ABS(Tableau1[[#This Row],[d. dir.]])</f>
        <v>28.870000000000005</v>
      </c>
      <c r="K4" s="13">
        <f>Tableau1[[#This Row],[dx]]/Tableau1[[#This Row],[d. dir.]]</f>
        <v>24.523727052303425</v>
      </c>
      <c r="L4" s="14">
        <f>Tableau1[[#This Row],[d. dir.]]/Tableau1[[#This Row],[dx]]*100</f>
        <v>4.0776836158192094</v>
      </c>
      <c r="M4" s="16">
        <f>Tableau1[[#This Row],[d. dir.]]/Tableau1[[#This Row],[angle théoriq.]]</f>
        <v>1.0978348910402234</v>
      </c>
      <c r="O4" t="s">
        <v>35</v>
      </c>
      <c r="P4" s="1">
        <f>angle</f>
        <v>71.314480950360249</v>
      </c>
      <c r="Q4" t="s">
        <v>9</v>
      </c>
    </row>
    <row r="5" spans="1:18">
      <c r="A5" s="17" t="s">
        <v>76</v>
      </c>
      <c r="B5" s="13">
        <v>250</v>
      </c>
      <c r="C5" s="13">
        <v>417</v>
      </c>
      <c r="D5" s="14">
        <v>272.71891597241103</v>
      </c>
      <c r="E5" s="14"/>
      <c r="F5" s="13"/>
      <c r="G5" s="15"/>
      <c r="H5" s="13"/>
      <c r="I5" s="14"/>
      <c r="J5" s="14"/>
      <c r="K5" s="13"/>
      <c r="L5" s="14"/>
      <c r="M5" s="16"/>
    </row>
    <row r="6" spans="1:18">
      <c r="B6" s="9">
        <v>252</v>
      </c>
      <c r="C6" s="9"/>
      <c r="D6" s="10">
        <v>273</v>
      </c>
      <c r="E6" s="10">
        <f>Tableau1[[#This Row],[pos.]]*angle/2</f>
        <v>-26.297214850445343</v>
      </c>
      <c r="F6" s="9">
        <f>B6-960</f>
        <v>-708</v>
      </c>
      <c r="G6" s="11">
        <f>Tableau1[[#This Row],[dx]]/960</f>
        <v>-0.73750000000000004</v>
      </c>
      <c r="H6" s="9">
        <f>ABS(F6)</f>
        <v>708</v>
      </c>
      <c r="I6" s="10">
        <f>Tableau1[[#This Row],[direction]]-centre_direction</f>
        <v>-27.769999999999982</v>
      </c>
      <c r="J6" s="10">
        <f>ABS(Tableau1[[#This Row],[d. dir.]])</f>
        <v>27.769999999999982</v>
      </c>
      <c r="K6" s="9">
        <f>Tableau1[[#This Row],[dx]]/Tableau1[[#This Row],[d. dir.]]</f>
        <v>25.495138638818887</v>
      </c>
      <c r="L6" s="10">
        <f>Tableau1[[#This Row],[d. dir.]]/Tableau1[[#This Row],[dx]]*100</f>
        <v>3.9223163841807884</v>
      </c>
      <c r="M6" s="12">
        <f>Tableau1[[#This Row],[d. dir.]]/Tableau1[[#This Row],[angle théoriq.]]</f>
        <v>1.0560053662690327</v>
      </c>
    </row>
    <row r="7" spans="1:18">
      <c r="A7" s="17" t="s">
        <v>77</v>
      </c>
      <c r="B7" s="9">
        <v>250</v>
      </c>
      <c r="C7" s="9">
        <v>382</v>
      </c>
      <c r="D7" s="10">
        <v>273.20320836215097</v>
      </c>
      <c r="E7" s="10"/>
      <c r="F7" s="9"/>
      <c r="G7" s="11"/>
      <c r="H7" s="9"/>
      <c r="I7" s="10"/>
      <c r="J7" s="10"/>
      <c r="K7" s="9"/>
      <c r="L7" s="10"/>
      <c r="M7" s="12"/>
    </row>
    <row r="8" spans="1:18">
      <c r="A8" s="17" t="s">
        <v>45</v>
      </c>
      <c r="B8" s="13">
        <v>334</v>
      </c>
      <c r="C8" s="13"/>
      <c r="D8" s="14">
        <v>274.72000000000003</v>
      </c>
      <c r="E8" s="14">
        <f>Tableau1[[#This Row],[pos.]]*angle/2</f>
        <v>-23.251492226523705</v>
      </c>
      <c r="F8" s="13">
        <f>B8-960</f>
        <v>-626</v>
      </c>
      <c r="G8" s="15">
        <f>Tableau1[[#This Row],[dx]]/960</f>
        <v>-0.65208333333333335</v>
      </c>
      <c r="H8" s="13">
        <f>ABS(F8)</f>
        <v>626</v>
      </c>
      <c r="I8" s="14">
        <f>Tableau1[[#This Row],[direction]]-centre_direction</f>
        <v>-26.049999999999955</v>
      </c>
      <c r="J8" s="14">
        <f>ABS(Tableau1[[#This Row],[d. dir.]])</f>
        <v>26.049999999999955</v>
      </c>
      <c r="K8" s="13">
        <f>Tableau1[[#This Row],[dx]]/Tableau1[[#This Row],[d. dir.]]</f>
        <v>24.030710172744765</v>
      </c>
      <c r="L8" s="14">
        <f>Tableau1[[#This Row],[d. dir.]]/Tableau1[[#This Row],[dx]]*100</f>
        <v>4.1613418530351369</v>
      </c>
      <c r="M8" s="16">
        <f>Tableau1[[#This Row],[d. dir.]]/Tableau1[[#This Row],[angle théoriq.]]</f>
        <v>1.1203582009366222</v>
      </c>
    </row>
    <row r="9" spans="1:18">
      <c r="A9" s="17" t="s">
        <v>78</v>
      </c>
      <c r="B9" s="13">
        <v>327</v>
      </c>
      <c r="C9" s="13">
        <v>415</v>
      </c>
      <c r="D9" s="14">
        <v>275.26357220511602</v>
      </c>
      <c r="E9" s="14">
        <f>Tableau1[[#This Row],[pos.]]*angle/2</f>
        <v>-23.511492938321897</v>
      </c>
      <c r="F9" s="13">
        <f>B9-960</f>
        <v>-633</v>
      </c>
      <c r="G9" s="15">
        <f>Tableau1[[#This Row],[dx]]/960</f>
        <v>-0.65937500000000004</v>
      </c>
      <c r="H9" s="13">
        <f>ABS(F9)</f>
        <v>633</v>
      </c>
      <c r="I9" s="14">
        <f>Tableau1[[#This Row],[direction]]-centre_direction</f>
        <v>-25.506427794883962</v>
      </c>
      <c r="J9" s="14">
        <f>ABS(Tableau1[[#This Row],[d. dir.]])</f>
        <v>25.506427794883962</v>
      </c>
      <c r="K9" s="13">
        <f>Tableau1[[#This Row],[dx]]/Tableau1[[#This Row],[d. dir.]]</f>
        <v>24.817273711960798</v>
      </c>
      <c r="L9" s="14">
        <f>Tableau1[[#This Row],[d. dir.]]/Tableau1[[#This Row],[dx]]*100</f>
        <v>4.0294514683860916</v>
      </c>
      <c r="M9" s="16">
        <f>Tableau1[[#This Row],[d. dir.]]/Tableau1[[#This Row],[angle théoriq.]]</f>
        <v>1.0848493484354826</v>
      </c>
    </row>
    <row r="10" spans="1:18">
      <c r="A10" s="17" t="s">
        <v>79</v>
      </c>
      <c r="B10" s="13">
        <v>318</v>
      </c>
      <c r="C10" s="13">
        <v>384</v>
      </c>
      <c r="D10" s="14">
        <v>275.75532567420402</v>
      </c>
      <c r="E10" s="14">
        <f>Tableau1[[#This Row],[pos.]]*angle/2</f>
        <v>-23.845779567776706</v>
      </c>
      <c r="F10" s="13">
        <f>B10-960</f>
        <v>-642</v>
      </c>
      <c r="G10" s="15">
        <f>Tableau1[[#This Row],[dx]]/960</f>
        <v>-0.66874999999999996</v>
      </c>
      <c r="H10" s="13">
        <f>ABS(F10)</f>
        <v>642</v>
      </c>
      <c r="I10" s="14">
        <f>Tableau1[[#This Row],[direction]]-centre_direction</f>
        <v>-25.014674325795966</v>
      </c>
      <c r="J10" s="14">
        <f>ABS(Tableau1[[#This Row],[d. dir.]])</f>
        <v>25.014674325795966</v>
      </c>
      <c r="K10" s="13">
        <f>Tableau1[[#This Row],[dx]]/Tableau1[[#This Row],[d. dir.]]</f>
        <v>25.664935375070954</v>
      </c>
      <c r="L10" s="14">
        <f>Tableau1[[#This Row],[d. dir.]]/Tableau1[[#This Row],[dx]]*100</f>
        <v>3.8963667174137018</v>
      </c>
      <c r="M10" s="16">
        <f>Tableau1[[#This Row],[d. dir.]]/Tableau1[[#This Row],[angle théoriq.]]</f>
        <v>1.0490189366506939</v>
      </c>
    </row>
    <row r="11" spans="1:18">
      <c r="A11" t="s">
        <v>38</v>
      </c>
      <c r="B11" s="13">
        <v>427</v>
      </c>
      <c r="C11" s="13"/>
      <c r="D11" s="14">
        <v>278.66000000000003</v>
      </c>
      <c r="E11" s="14">
        <f>Tableau1[[#This Row],[pos.]]*angle/2</f>
        <v>-19.797197055490631</v>
      </c>
      <c r="F11" s="13">
        <f>B11-960</f>
        <v>-533</v>
      </c>
      <c r="G11" s="15">
        <f>Tableau1[[#This Row],[dx]]/960</f>
        <v>-0.5552083333333333</v>
      </c>
      <c r="H11" s="13">
        <f>ABS(F11)</f>
        <v>533</v>
      </c>
      <c r="I11" s="14">
        <f>Tableau1[[#This Row],[direction]]-centre_direction</f>
        <v>-22.109999999999957</v>
      </c>
      <c r="J11" s="14">
        <f>ABS(Tableau1[[#This Row],[d. dir.]])</f>
        <v>22.109999999999957</v>
      </c>
      <c r="K11" s="13">
        <f>Tableau1[[#This Row],[dx]]/Tableau1[[#This Row],[d. dir.]]</f>
        <v>24.106739032112213</v>
      </c>
      <c r="L11" s="14">
        <f>Tableau1[[#This Row],[d. dir.]]/Tableau1[[#This Row],[dx]]*100</f>
        <v>4.1482176360225065</v>
      </c>
      <c r="M11" s="16">
        <f>Tableau1[[#This Row],[d. dir.]]/Tableau1[[#This Row],[angle théoriq.]]</f>
        <v>1.1168247675681888</v>
      </c>
    </row>
    <row r="12" spans="1:18">
      <c r="B12" s="9">
        <v>627</v>
      </c>
      <c r="C12" s="9"/>
      <c r="D12" s="10">
        <v>286.89</v>
      </c>
      <c r="E12" s="10">
        <f>Tableau1[[#This Row],[pos.]]*angle/2</f>
        <v>-12.368605289828105</v>
      </c>
      <c r="F12" s="9">
        <f>B12-960</f>
        <v>-333</v>
      </c>
      <c r="G12" s="11">
        <f>Tableau1[[#This Row],[dx]]/960</f>
        <v>-0.34687499999999999</v>
      </c>
      <c r="H12" s="9">
        <f>ABS(F12)</f>
        <v>333</v>
      </c>
      <c r="I12" s="10">
        <f>Tableau1[[#This Row],[direction]]-centre_direction</f>
        <v>-13.879999999999995</v>
      </c>
      <c r="J12" s="10">
        <f>ABS(Tableau1[[#This Row],[d. dir.]])</f>
        <v>13.879999999999995</v>
      </c>
      <c r="K12" s="9">
        <f>Tableau1[[#This Row],[dx]]/Tableau1[[#This Row],[d. dir.]]</f>
        <v>23.991354466858798</v>
      </c>
      <c r="L12" s="10">
        <f>Tableau1[[#This Row],[d. dir.]]/Tableau1[[#This Row],[dx]]*100</f>
        <v>4.168168168168167</v>
      </c>
      <c r="M12" s="12">
        <f>Tableau1[[#This Row],[d. dir.]]/Tableau1[[#This Row],[angle théoriq.]]</f>
        <v>1.1221960499794472</v>
      </c>
    </row>
    <row r="13" spans="1:18">
      <c r="A13" t="s">
        <v>39</v>
      </c>
      <c r="B13" s="13">
        <v>677</v>
      </c>
      <c r="C13" s="13"/>
      <c r="D13" s="14">
        <v>288.94</v>
      </c>
      <c r="E13" s="14">
        <f>Tableau1[[#This Row],[pos.]]*angle/2</f>
        <v>-10.511457348412474</v>
      </c>
      <c r="F13" s="13">
        <f>B13-960</f>
        <v>-283</v>
      </c>
      <c r="G13" s="15">
        <f>Tableau1[[#This Row],[dx]]/960</f>
        <v>-0.29479166666666667</v>
      </c>
      <c r="H13" s="13">
        <f>ABS(F13)</f>
        <v>283</v>
      </c>
      <c r="I13" s="14">
        <f>Tableau1[[#This Row],[direction]]-centre_direction</f>
        <v>-11.829999999999984</v>
      </c>
      <c r="J13" s="14">
        <f>ABS(Tableau1[[#This Row],[d. dir.]])</f>
        <v>11.829999999999984</v>
      </c>
      <c r="K13" s="13">
        <f>Tableau1[[#This Row],[dx]]/Tableau1[[#This Row],[d. dir.]]</f>
        <v>23.922231614539339</v>
      </c>
      <c r="L13" s="14">
        <f>Tableau1[[#This Row],[d. dir.]]/Tableau1[[#This Row],[dx]]*100</f>
        <v>4.1802120141342698</v>
      </c>
      <c r="M13" s="16">
        <f>Tableau1[[#This Row],[d. dir.]]/Tableau1[[#This Row],[angle théoriq.]]</f>
        <v>1.1254386150162752</v>
      </c>
    </row>
    <row r="14" spans="1:18">
      <c r="B14" s="9">
        <v>755</v>
      </c>
      <c r="C14" s="9"/>
      <c r="D14" s="10">
        <v>291.87</v>
      </c>
      <c r="E14" s="10">
        <f>Tableau1[[#This Row],[pos.]]*angle/2</f>
        <v>-7.6143065598040884</v>
      </c>
      <c r="F14" s="9">
        <f>B14-960</f>
        <v>-205</v>
      </c>
      <c r="G14" s="11">
        <f>Tableau1[[#This Row],[dx]]/960</f>
        <v>-0.21354166666666666</v>
      </c>
      <c r="H14" s="9">
        <f>ABS(F14)</f>
        <v>205</v>
      </c>
      <c r="I14" s="10">
        <f>Tableau1[[#This Row],[direction]]-centre_direction</f>
        <v>-8.8999999999999773</v>
      </c>
      <c r="J14" s="10">
        <f>ABS(Tableau1[[#This Row],[d. dir.]])</f>
        <v>8.8999999999999773</v>
      </c>
      <c r="K14" s="9">
        <f>Tableau1[[#This Row],[dx]]/Tableau1[[#This Row],[d. dir.]]</f>
        <v>23.033707865168598</v>
      </c>
      <c r="L14" s="10">
        <f>Tableau1[[#This Row],[d. dir.]]/Tableau1[[#This Row],[dx]]*100</f>
        <v>4.3414634146341351</v>
      </c>
      <c r="M14" s="12">
        <f>Tableau1[[#This Row],[d. dir.]]/Tableau1[[#This Row],[angle théoriq.]]</f>
        <v>1.1688523347592887</v>
      </c>
    </row>
    <row r="15" spans="1:18">
      <c r="A15" s="18" t="s">
        <v>46</v>
      </c>
      <c r="B15" s="13">
        <v>763</v>
      </c>
      <c r="C15" s="13"/>
      <c r="D15" s="14">
        <v>292.24</v>
      </c>
      <c r="E15" s="14">
        <f>Tableau1[[#This Row],[pos.]]*angle/2</f>
        <v>-7.3171628891775882</v>
      </c>
      <c r="F15" s="13">
        <f>B15-960</f>
        <v>-197</v>
      </c>
      <c r="G15" s="15">
        <f>Tableau1[[#This Row],[dx]]/960</f>
        <v>-0.20520833333333333</v>
      </c>
      <c r="H15" s="13">
        <f>ABS(F15)</f>
        <v>197</v>
      </c>
      <c r="I15" s="14">
        <f>Tableau1[[#This Row],[direction]]-centre_direction</f>
        <v>-8.5299999999999727</v>
      </c>
      <c r="J15" s="14">
        <f>ABS(Tableau1[[#This Row],[d. dir.]])</f>
        <v>8.5299999999999727</v>
      </c>
      <c r="K15" s="13">
        <f>Tableau1[[#This Row],[dx]]/Tableau1[[#This Row],[d. dir.]]</f>
        <v>23.094958968347086</v>
      </c>
      <c r="L15" s="14">
        <f>Tableau1[[#This Row],[d. dir.]]/Tableau1[[#This Row],[dx]]*100</f>
        <v>4.3299492385786662</v>
      </c>
      <c r="M15" s="16">
        <f>Tableau1[[#This Row],[d. dir.]]/Tableau1[[#This Row],[angle théoriq.]]</f>
        <v>1.1657523727695369</v>
      </c>
    </row>
    <row r="16" spans="1:18">
      <c r="A16" s="18" t="s">
        <v>47</v>
      </c>
      <c r="B16" s="13">
        <v>789</v>
      </c>
      <c r="C16" s="13"/>
      <c r="D16" s="14">
        <v>293.20999999999998</v>
      </c>
      <c r="E16" s="14">
        <f>Tableau1[[#This Row],[pos.]]*angle/2</f>
        <v>-6.3514459596414596</v>
      </c>
      <c r="F16" s="13">
        <f>B16-960</f>
        <v>-171</v>
      </c>
      <c r="G16" s="15">
        <f>Tableau1[[#This Row],[dx]]/960</f>
        <v>-0.17812500000000001</v>
      </c>
      <c r="H16" s="13">
        <f>ABS(F16)</f>
        <v>171</v>
      </c>
      <c r="I16" s="14">
        <f>Tableau1[[#This Row],[direction]]-centre_direction</f>
        <v>-7.5600000000000023</v>
      </c>
      <c r="J16" s="14">
        <f>ABS(Tableau1[[#This Row],[d. dir.]])</f>
        <v>7.5600000000000023</v>
      </c>
      <c r="K16" s="13">
        <f>Tableau1[[#This Row],[dx]]/Tableau1[[#This Row],[d. dir.]]</f>
        <v>22.619047619047613</v>
      </c>
      <c r="L16" s="14">
        <f>Tableau1[[#This Row],[d. dir.]]/Tableau1[[#This Row],[dx]]*100</f>
        <v>4.4210526315789487</v>
      </c>
      <c r="M16" s="16">
        <f>Tableau1[[#This Row],[d. dir.]]/Tableau1[[#This Row],[angle théoriq.]]</f>
        <v>1.1902801421972211</v>
      </c>
    </row>
    <row r="17" spans="1:13">
      <c r="B17" s="9">
        <v>795</v>
      </c>
      <c r="C17" s="9"/>
      <c r="D17" s="10">
        <v>293.39999999999998</v>
      </c>
      <c r="E17" s="10">
        <f>Tableau1[[#This Row],[pos.]]*angle/2</f>
        <v>-6.1285882066715835</v>
      </c>
      <c r="F17" s="9">
        <f>B17-960</f>
        <v>-165</v>
      </c>
      <c r="G17" s="11">
        <f>Tableau1[[#This Row],[dx]]/960</f>
        <v>-0.171875</v>
      </c>
      <c r="H17" s="9">
        <f>ABS(F17)</f>
        <v>165</v>
      </c>
      <c r="I17" s="10">
        <f>Tableau1[[#This Row],[direction]]-centre_direction</f>
        <v>-7.3700000000000045</v>
      </c>
      <c r="J17" s="10">
        <f>ABS(Tableau1[[#This Row],[d. dir.]])</f>
        <v>7.3700000000000045</v>
      </c>
      <c r="K17" s="9">
        <f>Tableau1[[#This Row],[dx]]/Tableau1[[#This Row],[d. dir.]]</f>
        <v>22.388059701492523</v>
      </c>
      <c r="L17" s="10">
        <f>Tableau1[[#This Row],[d. dir.]]/Tableau1[[#This Row],[dx]]*100</f>
        <v>4.4666666666666694</v>
      </c>
      <c r="M17" s="12">
        <f>Tableau1[[#This Row],[d. dir.]]/Tableau1[[#This Row],[angle théoriq.]]</f>
        <v>1.2025608103310024</v>
      </c>
    </row>
    <row r="18" spans="1:13">
      <c r="B18" s="9">
        <v>1165</v>
      </c>
      <c r="C18" s="9"/>
      <c r="D18" s="10">
        <v>309.66000000000003</v>
      </c>
      <c r="E18" s="10">
        <f>Tableau1[[#This Row],[pos.]]*angle/2</f>
        <v>7.6143065598040884</v>
      </c>
      <c r="F18" s="9">
        <f>B18-960</f>
        <v>205</v>
      </c>
      <c r="G18" s="11">
        <f>Tableau1[[#This Row],[dx]]/960</f>
        <v>0.21354166666666666</v>
      </c>
      <c r="H18" s="9">
        <f>ABS(F18)</f>
        <v>205</v>
      </c>
      <c r="I18" s="10">
        <f>Tableau1[[#This Row],[direction]]-centre_direction</f>
        <v>8.8900000000000432</v>
      </c>
      <c r="J18" s="10">
        <f>ABS(Tableau1[[#This Row],[d. dir.]])</f>
        <v>8.8900000000000432</v>
      </c>
      <c r="K18" s="9">
        <f>Tableau1[[#This Row],[dx]]/Tableau1[[#This Row],[d. dir.]]</f>
        <v>23.059617547806411</v>
      </c>
      <c r="L18" s="10">
        <f>Tableau1[[#This Row],[d. dir.]]/Tableau1[[#This Row],[dx]]*100</f>
        <v>4.3365853658536802</v>
      </c>
      <c r="M18" s="12">
        <f>Tableau1[[#This Row],[d. dir.]]/Tableau1[[#This Row],[angle théoriq.]]</f>
        <v>1.1675390175292308</v>
      </c>
    </row>
    <row r="19" spans="1:13">
      <c r="B19" s="9">
        <v>1243</v>
      </c>
      <c r="C19" s="9"/>
      <c r="D19" s="10">
        <v>312.60000000000002</v>
      </c>
      <c r="E19" s="10">
        <f>Tableau1[[#This Row],[pos.]]*angle/2</f>
        <v>10.511457348412474</v>
      </c>
      <c r="F19" s="9">
        <f>B19-960</f>
        <v>283</v>
      </c>
      <c r="G19" s="11">
        <f>Tableau1[[#This Row],[dx]]/960</f>
        <v>0.29479166666666667</v>
      </c>
      <c r="H19" s="9">
        <f>ABS(F19)</f>
        <v>283</v>
      </c>
      <c r="I19" s="10">
        <f>Tableau1[[#This Row],[direction]]-centre_direction</f>
        <v>11.830000000000041</v>
      </c>
      <c r="J19" s="10">
        <f>ABS(Tableau1[[#This Row],[d. dir.]])</f>
        <v>11.830000000000041</v>
      </c>
      <c r="K19" s="9">
        <f>Tableau1[[#This Row],[dx]]/Tableau1[[#This Row],[d. dir.]]</f>
        <v>23.922231614539225</v>
      </c>
      <c r="L19" s="10">
        <f>Tableau1[[#This Row],[d. dir.]]/Tableau1[[#This Row],[dx]]*100</f>
        <v>4.1802120141342902</v>
      </c>
      <c r="M19" s="12">
        <f>Tableau1[[#This Row],[d. dir.]]/Tableau1[[#This Row],[angle théoriq.]]</f>
        <v>1.1254386150162807</v>
      </c>
    </row>
    <row r="20" spans="1:13">
      <c r="B20" s="9">
        <v>1261</v>
      </c>
      <c r="C20" s="9"/>
      <c r="D20" s="10">
        <v>313.38</v>
      </c>
      <c r="E20" s="10">
        <f>Tableau1[[#This Row],[pos.]]*angle/2</f>
        <v>11.180030607322101</v>
      </c>
      <c r="F20" s="9">
        <f>B20-960</f>
        <v>301</v>
      </c>
      <c r="G20" s="11">
        <f>Tableau1[[#This Row],[dx]]/960</f>
        <v>0.31354166666666666</v>
      </c>
      <c r="H20" s="9">
        <f>ABS(F20)</f>
        <v>301</v>
      </c>
      <c r="I20" s="10">
        <f>Tableau1[[#This Row],[direction]]-centre_direction</f>
        <v>12.610000000000014</v>
      </c>
      <c r="J20" s="10">
        <f>ABS(Tableau1[[#This Row],[d. dir.]])</f>
        <v>12.610000000000014</v>
      </c>
      <c r="K20" s="9">
        <f>Tableau1[[#This Row],[dx]]/Tableau1[[#This Row],[d. dir.]]</f>
        <v>23.869944488501165</v>
      </c>
      <c r="L20" s="10">
        <f>Tableau1[[#This Row],[d. dir.]]/Tableau1[[#This Row],[dx]]*100</f>
        <v>4.1893687707641245</v>
      </c>
      <c r="M20" s="12">
        <f>Tableau1[[#This Row],[d. dir.]]/Tableau1[[#This Row],[angle théoriq.]]</f>
        <v>1.1279038888982458</v>
      </c>
    </row>
    <row r="21" spans="1:13">
      <c r="A21" s="17" t="s">
        <v>41</v>
      </c>
      <c r="B21" s="13">
        <v>1625</v>
      </c>
      <c r="C21" s="13"/>
      <c r="D21" s="14">
        <v>327.06</v>
      </c>
      <c r="E21" s="14">
        <f>Tableau1[[#This Row],[pos.]]*angle/2</f>
        <v>24.700067620827902</v>
      </c>
      <c r="F21" s="13">
        <f>B21-960</f>
        <v>665</v>
      </c>
      <c r="G21" s="15">
        <f>Tableau1[[#This Row],[dx]]/960</f>
        <v>0.69270833333333337</v>
      </c>
      <c r="H21" s="13">
        <f>ABS(F21)</f>
        <v>665</v>
      </c>
      <c r="I21" s="14">
        <f>Tableau1[[#This Row],[direction]]-centre_direction</f>
        <v>26.29000000000002</v>
      </c>
      <c r="J21" s="14">
        <f>ABS(Tableau1[[#This Row],[d. dir.]])</f>
        <v>26.29000000000002</v>
      </c>
      <c r="K21" s="13">
        <f>Tableau1[[#This Row],[dx]]/Tableau1[[#This Row],[d. dir.]]</f>
        <v>25.294788893115232</v>
      </c>
      <c r="L21" s="14">
        <f>Tableau1[[#This Row],[d. dir.]]/Tableau1[[#This Row],[dx]]*100</f>
        <v>3.9533834586466199</v>
      </c>
      <c r="M21" s="16">
        <f>Tableau1[[#This Row],[d. dir.]]/Tableau1[[#This Row],[angle théoriq.]]</f>
        <v>1.0643695557266992</v>
      </c>
    </row>
    <row r="22" spans="1:13">
      <c r="A22" s="17" t="s">
        <v>43</v>
      </c>
      <c r="B22" s="13">
        <v>1848</v>
      </c>
      <c r="C22" s="13"/>
      <c r="D22" s="14">
        <v>334.01</v>
      </c>
      <c r="E22" s="14">
        <f>Tableau1[[#This Row],[pos.]]*angle/2</f>
        <v>32.982947439541618</v>
      </c>
      <c r="F22" s="13">
        <f>B22-960</f>
        <v>888</v>
      </c>
      <c r="G22" s="15">
        <f>Tableau1[[#This Row],[dx]]/960</f>
        <v>0.92500000000000004</v>
      </c>
      <c r="H22" s="13">
        <f>ABS(F22)</f>
        <v>888</v>
      </c>
      <c r="I22" s="14">
        <f>Tableau1[[#This Row],[direction]]-centre_direction</f>
        <v>33.240000000000009</v>
      </c>
      <c r="J22" s="14">
        <f>ABS(Tableau1[[#This Row],[d. dir.]])</f>
        <v>33.240000000000009</v>
      </c>
      <c r="K22" s="13">
        <f>Tableau1[[#This Row],[dx]]/Tableau1[[#This Row],[d. dir.]]</f>
        <v>26.714801444043314</v>
      </c>
      <c r="L22" s="14">
        <f>Tableau1[[#This Row],[d. dir.]]/Tableau1[[#This Row],[dx]]*100</f>
        <v>3.7432432432432448</v>
      </c>
      <c r="M22" s="16">
        <f>Tableau1[[#This Row],[d. dir.]]/Tableau1[[#This Row],[angle théoriq.]]</f>
        <v>1.0077934987747705</v>
      </c>
    </row>
    <row r="23" spans="1:13">
      <c r="A23" s="17" t="s">
        <v>42</v>
      </c>
      <c r="B23" s="13">
        <v>1878</v>
      </c>
      <c r="C23" s="13"/>
      <c r="D23" s="14">
        <v>335.1</v>
      </c>
      <c r="E23" s="14">
        <f>Tableau1[[#This Row],[pos.]]*angle/2</f>
        <v>34.097236204390995</v>
      </c>
      <c r="F23" s="13">
        <f>B23-960</f>
        <v>918</v>
      </c>
      <c r="G23" s="15">
        <f>Tableau1[[#This Row],[dx]]/960</f>
        <v>0.95625000000000004</v>
      </c>
      <c r="H23" s="13">
        <f>ABS(F23)</f>
        <v>918</v>
      </c>
      <c r="I23" s="14">
        <f>Tableau1[[#This Row],[direction]]-centre_direction</f>
        <v>34.330000000000041</v>
      </c>
      <c r="J23" s="14">
        <f>ABS(Tableau1[[#This Row],[d. dir.]])</f>
        <v>34.330000000000041</v>
      </c>
      <c r="K23" s="13">
        <f>Tableau1[[#This Row],[dx]]/Tableau1[[#This Row],[d. dir.]]</f>
        <v>26.740460238858109</v>
      </c>
      <c r="L23" s="14">
        <f>Tableau1[[#This Row],[d. dir.]]/Tableau1[[#This Row],[dx]]*100</f>
        <v>3.7396514161220091</v>
      </c>
      <c r="M23" s="16">
        <f>Tableau1[[#This Row],[d. dir.]]/Tableau1[[#This Row],[angle théoriq.]]</f>
        <v>1.0068264710433941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4:G23"/>
  <sheetViews>
    <sheetView workbookViewId="0">
      <selection activeCell="D17" sqref="D17"/>
    </sheetView>
  </sheetViews>
  <sheetFormatPr baseColWidth="10" defaultRowHeight="15"/>
  <cols>
    <col min="2" max="2" width="4.5703125" customWidth="1"/>
    <col min="3" max="3" width="5.85546875" customWidth="1"/>
    <col min="4" max="4" width="10.28515625" customWidth="1"/>
    <col min="5" max="5" width="2.28515625" customWidth="1"/>
    <col min="6" max="6" width="5.85546875" customWidth="1"/>
  </cols>
  <sheetData>
    <row r="4" spans="2:7">
      <c r="B4" t="s">
        <v>49</v>
      </c>
    </row>
    <row r="5" spans="2:7">
      <c r="C5" t="s">
        <v>72</v>
      </c>
      <c r="D5" t="s">
        <v>73</v>
      </c>
      <c r="F5" t="s">
        <v>72</v>
      </c>
      <c r="G5" t="s">
        <v>74</v>
      </c>
    </row>
    <row r="6" spans="2:7">
      <c r="C6" t="s">
        <v>50</v>
      </c>
      <c r="D6" s="3">
        <v>109</v>
      </c>
      <c r="F6" t="s">
        <v>70</v>
      </c>
      <c r="G6" s="3">
        <v>40</v>
      </c>
    </row>
    <row r="7" spans="2:7">
      <c r="C7" t="s">
        <v>51</v>
      </c>
      <c r="D7" s="3">
        <v>0</v>
      </c>
      <c r="F7" t="s">
        <v>71</v>
      </c>
      <c r="G7" s="3">
        <v>0</v>
      </c>
    </row>
    <row r="8" spans="2:7">
      <c r="C8" t="s">
        <v>52</v>
      </c>
      <c r="D8" s="3">
        <v>677</v>
      </c>
      <c r="F8" t="s">
        <v>70</v>
      </c>
      <c r="G8" s="3">
        <v>585</v>
      </c>
    </row>
    <row r="9" spans="2:7">
      <c r="C9" t="s">
        <v>53</v>
      </c>
      <c r="D9" s="3">
        <v>1080</v>
      </c>
      <c r="F9" t="s">
        <v>71</v>
      </c>
      <c r="G9" s="3">
        <v>1080</v>
      </c>
    </row>
    <row r="10" spans="2:7">
      <c r="C10" t="s">
        <v>54</v>
      </c>
      <c r="D10" s="20">
        <v>1080</v>
      </c>
    </row>
    <row r="11" spans="2:7">
      <c r="C11" t="s">
        <v>55</v>
      </c>
      <c r="D11" s="8">
        <f>D8-(D9*(D8-D6)/(D9-D7))</f>
        <v>109</v>
      </c>
    </row>
    <row r="12" spans="2:7">
      <c r="C12" t="s">
        <v>56</v>
      </c>
      <c r="D12" s="8">
        <v>0</v>
      </c>
    </row>
    <row r="13" spans="2:7">
      <c r="C13" t="s">
        <v>57</v>
      </c>
      <c r="D13" s="8">
        <f>D11+D10*(D8-D11)/D9</f>
        <v>677</v>
      </c>
    </row>
    <row r="14" spans="2:7">
      <c r="C14" t="s">
        <v>58</v>
      </c>
      <c r="D14" s="8">
        <f>D10</f>
        <v>1080</v>
      </c>
    </row>
    <row r="15" spans="2:7">
      <c r="B15" s="19" t="s">
        <v>59</v>
      </c>
      <c r="E15" s="19" t="s">
        <v>65</v>
      </c>
    </row>
    <row r="16" spans="2:7">
      <c r="C16" t="s">
        <v>60</v>
      </c>
      <c r="D16">
        <f>(y_1-b)/x_1</f>
        <v>1.9014084507042255</v>
      </c>
      <c r="F16" t="s">
        <v>66</v>
      </c>
      <c r="G16">
        <f>(y_3-b)/x_3</f>
        <v>5.181338028169014</v>
      </c>
    </row>
    <row r="17" spans="2:7">
      <c r="C17" t="s">
        <v>61</v>
      </c>
      <c r="D17">
        <f>(y_2*x_1-y_1*x_2)/(x_1-x_2)</f>
        <v>-207.25352112676057</v>
      </c>
      <c r="F17" t="s">
        <v>67</v>
      </c>
      <c r="G17">
        <f>(y_4*x_3-y_3*x_4)/(x_3-x_4)</f>
        <v>-79.266055045871553</v>
      </c>
    </row>
    <row r="18" spans="2:7">
      <c r="C18" t="s">
        <v>25</v>
      </c>
      <c r="D18" s="3">
        <v>353</v>
      </c>
      <c r="F18" t="s">
        <v>68</v>
      </c>
      <c r="G18">
        <f>(b_prime-b)/(a-a_prime)</f>
        <v>-39.021406727828754</v>
      </c>
    </row>
    <row r="19" spans="2:7">
      <c r="C19" t="s">
        <v>62</v>
      </c>
      <c r="D19" s="8">
        <f>a*x+b</f>
        <v>463.94366197183103</v>
      </c>
      <c r="F19" t="s">
        <v>69</v>
      </c>
      <c r="G19">
        <f>a_prime*G18+b_prime</f>
        <v>-281.44915363742086</v>
      </c>
    </row>
    <row r="20" spans="2:7">
      <c r="C20" t="s">
        <v>63</v>
      </c>
      <c r="D20" s="3">
        <v>1080</v>
      </c>
    </row>
    <row r="21" spans="2:7">
      <c r="C21" t="s">
        <v>64</v>
      </c>
      <c r="D21" s="8">
        <f>(y-b)/a</f>
        <v>676.99999999999989</v>
      </c>
    </row>
    <row r="23" spans="2:7">
      <c r="B23" s="1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33</vt:i4>
      </vt:variant>
    </vt:vector>
  </HeadingPairs>
  <TitlesOfParts>
    <vt:vector size="36" baseType="lpstr">
      <vt:lpstr>Formules</vt:lpstr>
      <vt:lpstr>Calculs Rova</vt:lpstr>
      <vt:lpstr>Coords</vt:lpstr>
      <vt:lpstr>a</vt:lpstr>
      <vt:lpstr>a_prime</vt:lpstr>
      <vt:lpstr>a0</vt:lpstr>
      <vt:lpstr>angle</vt:lpstr>
      <vt:lpstr>b</vt:lpstr>
      <vt:lpstr>b_prime</vt:lpstr>
      <vt:lpstr>ccd</vt:lpstr>
      <vt:lpstr>centre_direction</vt:lpstr>
      <vt:lpstr>conv_deg_px</vt:lpstr>
      <vt:lpstr>conv_px_deg</vt:lpstr>
      <vt:lpstr>d</vt:lpstr>
      <vt:lpstr>e</vt:lpstr>
      <vt:lpstr>f</vt:lpstr>
      <vt:lpstr>h</vt:lpstr>
      <vt:lpstr>t</vt:lpstr>
      <vt:lpstr>tMax</vt:lpstr>
      <vt:lpstr>tR</vt:lpstr>
      <vt:lpstr>tRTém</vt:lpstr>
      <vt:lpstr>tTém</vt:lpstr>
      <vt:lpstr>x</vt:lpstr>
      <vt:lpstr>x_1</vt:lpstr>
      <vt:lpstr>x_2</vt:lpstr>
      <vt:lpstr>x_3</vt:lpstr>
      <vt:lpstr>x_4</vt:lpstr>
      <vt:lpstr>xmax</vt:lpstr>
      <vt:lpstr>xmin</vt:lpstr>
      <vt:lpstr>y</vt:lpstr>
      <vt:lpstr>y_1</vt:lpstr>
      <vt:lpstr>y_2</vt:lpstr>
      <vt:lpstr>y_3</vt:lpstr>
      <vt:lpstr>y_4</vt:lpstr>
      <vt:lpstr>ymax</vt:lpstr>
      <vt:lpstr>ymin</vt:lpstr>
    </vt:vector>
  </TitlesOfParts>
  <Company>CAPGEMINI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LAVIGNE Mathieu (mlavigne)</dc:creator>
  <cp:lastModifiedBy>LAVIGNE Mathieu (mlavigne)</cp:lastModifiedBy>
  <dcterms:created xsi:type="dcterms:W3CDTF">2015-02-24T15:40:44Z</dcterms:created>
  <dcterms:modified xsi:type="dcterms:W3CDTF">2015-04-08T08:06:12Z</dcterms:modified>
</cp:coreProperties>
</file>