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DLMDev\Case_Studies\Cod_5ZJM_DFO\"/>
    </mc:Choice>
  </mc:AlternateContent>
  <bookViews>
    <workbookView xWindow="0" yWindow="0" windowWidth="23040" windowHeight="8990" tabRatio="736"/>
  </bookViews>
  <sheets>
    <sheet name="Stock" sheetId="1" r:id="rId1"/>
    <sheet name="Fleet" sheetId="15" r:id="rId2"/>
    <sheet name="Obs" sheetId="16" r:id="rId3"/>
    <sheet name="Imp" sheetId="17" r:id="rId4"/>
    <sheet name="OM" sheetId="13" r:id="rId5"/>
    <sheet name="SR" sheetId="21" r:id="rId6"/>
    <sheet name="Growth" sheetId="22" r:id="rId7"/>
    <sheet name="SSB0" sheetId="19" r:id="rId8"/>
    <sheet name="M calcs" sheetId="18" r:id="rId9"/>
    <sheet name="Length at age" sheetId="23" r:id="rId10"/>
  </sheets>
  <definedNames>
    <definedName name="a50mat" localSheetId="5">#REF!</definedName>
    <definedName name="a50mat">#REF!</definedName>
    <definedName name="a50mat_04" localSheetId="5">#REF!</definedName>
    <definedName name="a50mat_04">#REF!</definedName>
    <definedName name="alw" localSheetId="5">#REF!</definedName>
    <definedName name="alw">#REF!</definedName>
    <definedName name="alw_co" localSheetId="5">#REF!</definedName>
    <definedName name="alw_co">#REF!</definedName>
    <definedName name="asdmat" localSheetId="5">#REF!</definedName>
    <definedName name="asdmat">#REF!</definedName>
    <definedName name="asdmat_04" localSheetId="5">#REF!</definedName>
    <definedName name="asdmat_04">#REF!</definedName>
    <definedName name="blw" localSheetId="5">#REF!</definedName>
    <definedName name="blw">#REF!</definedName>
    <definedName name="blw_co" localSheetId="5">#REF!</definedName>
    <definedName name="blw_co">#REF!</definedName>
    <definedName name="hs" localSheetId="5">SR!$E$4</definedName>
    <definedName name="hs">#REF!</definedName>
    <definedName name="k" localSheetId="5">#REF!</definedName>
    <definedName name="k">#REF!</definedName>
    <definedName name="linf" localSheetId="5">#REF!</definedName>
    <definedName name="linf">#REF!</definedName>
    <definedName name="lmat50" localSheetId="5">#REF!</definedName>
    <definedName name="lmat50">#REF!</definedName>
    <definedName name="lmatsd" localSheetId="5">#REF!</definedName>
    <definedName name="lmatsd">#REF!</definedName>
    <definedName name="solver_adj" localSheetId="6" hidden="1">Growth!$C$13:$E$13</definedName>
    <definedName name="solver_adj" localSheetId="5" hidden="1">SR!$C$4:$E$4</definedName>
    <definedName name="solver_cvg" localSheetId="6" hidden="1">0.0001</definedName>
    <definedName name="solver_cvg" localSheetId="5" hidden="1">0.0001</definedName>
    <definedName name="solver_drv" localSheetId="6" hidden="1">1</definedName>
    <definedName name="solver_drv" localSheetId="5" hidden="1">2</definedName>
    <definedName name="solver_eng" localSheetId="6" hidden="1">1</definedName>
    <definedName name="solver_eng" localSheetId="5" hidden="1">1</definedName>
    <definedName name="solver_est" localSheetId="6" hidden="1">1</definedName>
    <definedName name="solver_est" localSheetId="5" hidden="1">1</definedName>
    <definedName name="solver_itr" localSheetId="6" hidden="1">2147483647</definedName>
    <definedName name="solver_itr" localSheetId="5" hidden="1">2147483647</definedName>
    <definedName name="solver_lhs1" localSheetId="6" hidden="1">Growth!$C$13</definedName>
    <definedName name="solver_lhs1" localSheetId="5" hidden="1">SR!$C$4</definedName>
    <definedName name="solver_lhs2" localSheetId="6" hidden="1">Growth!$D$13</definedName>
    <definedName name="solver_lhs2" localSheetId="5" hidden="1">SR!$C$4</definedName>
    <definedName name="solver_lhs3" localSheetId="6" hidden="1">Growth!$E$13</definedName>
    <definedName name="solver_lhs3" localSheetId="5" hidden="1">SR!$D$4</definedName>
    <definedName name="solver_lhs4" localSheetId="6" hidden="1">Growth!$E$13</definedName>
    <definedName name="solver_lhs4" localSheetId="5" hidden="1">SR!$D$4</definedName>
    <definedName name="solver_lhs5" localSheetId="5" hidden="1">SR!$E$4</definedName>
    <definedName name="solver_lhs6" localSheetId="5" hidden="1">SR!$E$4</definedName>
    <definedName name="solver_mip" localSheetId="6" hidden="1">2147483647</definedName>
    <definedName name="solver_mip" localSheetId="5" hidden="1">2147483647</definedName>
    <definedName name="solver_mni" localSheetId="6" hidden="1">30</definedName>
    <definedName name="solver_mni" localSheetId="5" hidden="1">30</definedName>
    <definedName name="solver_mrt" localSheetId="6" hidden="1">0.075</definedName>
    <definedName name="solver_mrt" localSheetId="5" hidden="1">0.075</definedName>
    <definedName name="solver_msl" localSheetId="6" hidden="1">2</definedName>
    <definedName name="solver_msl" localSheetId="5" hidden="1">2</definedName>
    <definedName name="solver_neg" localSheetId="6" hidden="1">1</definedName>
    <definedName name="solver_neg" localSheetId="5" hidden="1">1</definedName>
    <definedName name="solver_nod" localSheetId="6" hidden="1">2147483647</definedName>
    <definedName name="solver_nod" localSheetId="5" hidden="1">2147483647</definedName>
    <definedName name="solver_num" localSheetId="6" hidden="1">4</definedName>
    <definedName name="solver_num" localSheetId="5" hidden="1">6</definedName>
    <definedName name="solver_nwt" localSheetId="6" hidden="1">1</definedName>
    <definedName name="solver_nwt" localSheetId="5" hidden="1">1</definedName>
    <definedName name="solver_opt" localSheetId="6" hidden="1">Growth!$F$21</definedName>
    <definedName name="solver_opt" localSheetId="5" hidden="1">SR!$E$5</definedName>
    <definedName name="solver_pre" localSheetId="6" hidden="1">0.000001</definedName>
    <definedName name="solver_pre" localSheetId="5" hidden="1">0.000001</definedName>
    <definedName name="solver_rbv" localSheetId="6" hidden="1">1</definedName>
    <definedName name="solver_rbv" localSheetId="5" hidden="1">2</definedName>
    <definedName name="solver_rel1" localSheetId="6" hidden="1">1</definedName>
    <definedName name="solver_rel1" localSheetId="5" hidden="1">1</definedName>
    <definedName name="solver_rel2" localSheetId="6" hidden="1">3</definedName>
    <definedName name="solver_rel2" localSheetId="5" hidden="1">3</definedName>
    <definedName name="solver_rel3" localSheetId="6" hidden="1">1</definedName>
    <definedName name="solver_rel3" localSheetId="5" hidden="1">1</definedName>
    <definedName name="solver_rel4" localSheetId="6" hidden="1">3</definedName>
    <definedName name="solver_rel4" localSheetId="5" hidden="1">3</definedName>
    <definedName name="solver_rel5" localSheetId="5" hidden="1">1</definedName>
    <definedName name="solver_rel6" localSheetId="5" hidden="1">3</definedName>
    <definedName name="solver_rhs1" localSheetId="6" hidden="1">0</definedName>
    <definedName name="solver_rhs1" localSheetId="5" hidden="1">SR!$C$3</definedName>
    <definedName name="solver_rhs2" localSheetId="6" hidden="1">0.05</definedName>
    <definedName name="solver_rhs2" localSheetId="5" hidden="1">SR!$C$2</definedName>
    <definedName name="solver_rhs3" localSheetId="6" hidden="1">250</definedName>
    <definedName name="solver_rhs3" localSheetId="5" hidden="1">SR!$D$3</definedName>
    <definedName name="solver_rhs4" localSheetId="6" hidden="1">95</definedName>
    <definedName name="solver_rhs4" localSheetId="5" hidden="1">SR!$D$2</definedName>
    <definedName name="solver_rhs5" localSheetId="5" hidden="1">SR!$E$3</definedName>
    <definedName name="solver_rhs6" localSheetId="5" hidden="1">SR!$E$2</definedName>
    <definedName name="solver_rlx" localSheetId="6" hidden="1">2</definedName>
    <definedName name="solver_rlx" localSheetId="5" hidden="1">2</definedName>
    <definedName name="solver_rsd" localSheetId="6" hidden="1">0</definedName>
    <definedName name="solver_rsd" localSheetId="5" hidden="1">0</definedName>
    <definedName name="solver_scl" localSheetId="6" hidden="1">1</definedName>
    <definedName name="solver_scl" localSheetId="5" hidden="1">1</definedName>
    <definedName name="solver_sho" localSheetId="6" hidden="1">2</definedName>
    <definedName name="solver_sho" localSheetId="5" hidden="1">2</definedName>
    <definedName name="solver_ssz" localSheetId="6" hidden="1">100</definedName>
    <definedName name="solver_ssz" localSheetId="5" hidden="1">100</definedName>
    <definedName name="solver_tim" localSheetId="6" hidden="1">2147483647</definedName>
    <definedName name="solver_tim" localSheetId="5" hidden="1">2147483647</definedName>
    <definedName name="solver_tol" localSheetId="6" hidden="1">0.01</definedName>
    <definedName name="solver_tol" localSheetId="5" hidden="1">0.01</definedName>
    <definedName name="solver_typ" localSheetId="6" hidden="1">2</definedName>
    <definedName name="solver_typ" localSheetId="5" hidden="1">2</definedName>
    <definedName name="solver_val" localSheetId="6" hidden="1">0</definedName>
    <definedName name="solver_val" localSheetId="5" hidden="1">0</definedName>
    <definedName name="solver_ver" localSheetId="6" hidden="1">3</definedName>
    <definedName name="solver_ver" localSheetId="5" hidden="1">3</definedName>
    <definedName name="t0" localSheetId="5">#REF!</definedName>
    <definedName name="t0">#REF!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B2" i="19" l="1"/>
  <c r="J2" i="19" s="1"/>
  <c r="J7" i="19"/>
  <c r="I7" i="19"/>
  <c r="E11" i="19"/>
  <c r="C3" i="21"/>
  <c r="D26" i="23" l="1"/>
  <c r="B5" i="19" s="1"/>
  <c r="J5" i="19" s="1"/>
  <c r="E26" i="23"/>
  <c r="C26" i="23"/>
  <c r="B6" i="19" s="1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3" i="23"/>
  <c r="K25" i="23"/>
  <c r="J25" i="23"/>
  <c r="I25" i="23"/>
  <c r="K24" i="23"/>
  <c r="J24" i="23"/>
  <c r="I24" i="23"/>
  <c r="K23" i="23"/>
  <c r="J23" i="23"/>
  <c r="I23" i="23"/>
  <c r="K22" i="23"/>
  <c r="J22" i="23"/>
  <c r="I22" i="23"/>
  <c r="K21" i="23"/>
  <c r="J21" i="23"/>
  <c r="I21" i="23"/>
  <c r="K20" i="23"/>
  <c r="J20" i="23"/>
  <c r="I20" i="23"/>
  <c r="K19" i="23"/>
  <c r="J19" i="23"/>
  <c r="I19" i="23"/>
  <c r="K18" i="23"/>
  <c r="J18" i="23"/>
  <c r="I18" i="23"/>
  <c r="K17" i="23"/>
  <c r="J17" i="23"/>
  <c r="I17" i="23"/>
  <c r="K16" i="23"/>
  <c r="J16" i="23"/>
  <c r="I16" i="23"/>
  <c r="K15" i="23"/>
  <c r="J15" i="23"/>
  <c r="I15" i="23"/>
  <c r="K14" i="23"/>
  <c r="J14" i="23"/>
  <c r="I14" i="23"/>
  <c r="K13" i="23"/>
  <c r="J13" i="23"/>
  <c r="I13" i="23"/>
  <c r="K12" i="23"/>
  <c r="J12" i="23"/>
  <c r="I12" i="23"/>
  <c r="K11" i="23"/>
  <c r="J11" i="23"/>
  <c r="I11" i="23"/>
  <c r="K10" i="23"/>
  <c r="J10" i="23"/>
  <c r="I10" i="23"/>
  <c r="K9" i="23"/>
  <c r="J9" i="23"/>
  <c r="I9" i="23"/>
  <c r="K8" i="23"/>
  <c r="J8" i="23"/>
  <c r="I8" i="23"/>
  <c r="K7" i="23"/>
  <c r="J7" i="23"/>
  <c r="I7" i="23"/>
  <c r="K6" i="23"/>
  <c r="J6" i="23"/>
  <c r="I6" i="23"/>
  <c r="K5" i="23"/>
  <c r="J5" i="23"/>
  <c r="I5" i="23"/>
  <c r="K4" i="23"/>
  <c r="J4" i="23"/>
  <c r="I4" i="23"/>
  <c r="C2" i="21"/>
  <c r="D2" i="21"/>
  <c r="D3" i="21"/>
  <c r="E34" i="21"/>
  <c r="F34" i="21" s="1"/>
  <c r="E35" i="21"/>
  <c r="F35" i="21" s="1"/>
  <c r="G35" i="21" s="1"/>
  <c r="E36" i="21"/>
  <c r="F36" i="21" s="1"/>
  <c r="G36" i="21" s="1"/>
  <c r="E37" i="21"/>
  <c r="F37" i="21" s="1"/>
  <c r="E38" i="21"/>
  <c r="F38" i="21" s="1"/>
  <c r="E39" i="21"/>
  <c r="F39" i="21" s="1"/>
  <c r="E40" i="21"/>
  <c r="F40" i="21" s="1"/>
  <c r="G40" i="21" s="1"/>
  <c r="E41" i="21"/>
  <c r="F41" i="21" s="1"/>
  <c r="G41" i="21" s="1"/>
  <c r="E42" i="21"/>
  <c r="F42" i="21" s="1"/>
  <c r="G42" i="21" s="1"/>
  <c r="E43" i="21"/>
  <c r="F43" i="21" s="1"/>
  <c r="G43" i="21" s="1"/>
  <c r="E44" i="21"/>
  <c r="F44" i="21" s="1"/>
  <c r="G44" i="21" s="1"/>
  <c r="E7" i="21"/>
  <c r="C12" i="19" l="1"/>
  <c r="D12" i="19" s="1"/>
  <c r="C13" i="19"/>
  <c r="C21" i="19"/>
  <c r="D21" i="19" s="1"/>
  <c r="C29" i="19"/>
  <c r="C23" i="19"/>
  <c r="C14" i="19"/>
  <c r="C22" i="19"/>
  <c r="D22" i="19" s="1"/>
  <c r="C30" i="19"/>
  <c r="D30" i="19" s="1"/>
  <c r="C15" i="19"/>
  <c r="C11" i="19"/>
  <c r="C16" i="19"/>
  <c r="C20" i="19"/>
  <c r="C18" i="19"/>
  <c r="C24" i="19"/>
  <c r="C17" i="19"/>
  <c r="C25" i="19"/>
  <c r="D25" i="19" s="1"/>
  <c r="J6" i="19"/>
  <c r="C26" i="19"/>
  <c r="C19" i="19"/>
  <c r="C27" i="19"/>
  <c r="C28" i="19"/>
  <c r="M27" i="23"/>
  <c r="C31" i="23"/>
  <c r="C26" i="1" s="1"/>
  <c r="C30" i="23"/>
  <c r="B26" i="1" s="1"/>
  <c r="C27" i="23"/>
  <c r="N27" i="23"/>
  <c r="D27" i="23"/>
  <c r="H37" i="21"/>
  <c r="G37" i="21"/>
  <c r="H38" i="21"/>
  <c r="G38" i="21"/>
  <c r="G34" i="21"/>
  <c r="H34" i="21"/>
  <c r="H39" i="21"/>
  <c r="G39" i="21"/>
  <c r="H44" i="21"/>
  <c r="H43" i="21"/>
  <c r="H40" i="21"/>
  <c r="H42" i="21"/>
  <c r="H41" i="21"/>
  <c r="H36" i="21"/>
  <c r="H35" i="21"/>
  <c r="M30" i="19"/>
  <c r="M29" i="19"/>
  <c r="M28" i="19"/>
  <c r="M27" i="19"/>
  <c r="M26" i="19"/>
  <c r="M25" i="19"/>
  <c r="M24" i="19"/>
  <c r="M23" i="19"/>
  <c r="M22" i="19"/>
  <c r="M21" i="19"/>
  <c r="M20" i="19"/>
  <c r="M19" i="19"/>
  <c r="M18" i="19"/>
  <c r="M17" i="19"/>
  <c r="M16" i="19"/>
  <c r="M15" i="19"/>
  <c r="M14" i="19"/>
  <c r="M13" i="19"/>
  <c r="M12" i="19"/>
  <c r="M11" i="19"/>
  <c r="J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D13" i="19"/>
  <c r="D14" i="19"/>
  <c r="D15" i="19"/>
  <c r="D16" i="19"/>
  <c r="D17" i="19"/>
  <c r="D18" i="19"/>
  <c r="D19" i="19"/>
  <c r="D20" i="19"/>
  <c r="D23" i="19"/>
  <c r="D24" i="19"/>
  <c r="D26" i="19"/>
  <c r="D27" i="19"/>
  <c r="D28" i="19"/>
  <c r="D29" i="19"/>
  <c r="D11" i="19"/>
  <c r="B11" i="19"/>
  <c r="B12" i="19" s="1"/>
  <c r="I14" i="22"/>
  <c r="I3" i="22"/>
  <c r="B2" i="22"/>
  <c r="A2" i="22"/>
  <c r="B1" i="22"/>
  <c r="C4" i="22"/>
  <c r="D4" i="22" s="1"/>
  <c r="E4" i="22" s="1"/>
  <c r="C5" i="22"/>
  <c r="D5" i="22" s="1"/>
  <c r="E5" i="22" s="1"/>
  <c r="C6" i="22"/>
  <c r="D6" i="22" s="1"/>
  <c r="E6" i="22" s="1"/>
  <c r="C7" i="22"/>
  <c r="D7" i="22" s="1"/>
  <c r="E7" i="22" s="1"/>
  <c r="C8" i="22"/>
  <c r="D8" i="22" s="1"/>
  <c r="E8" i="22" s="1"/>
  <c r="C9" i="22"/>
  <c r="D9" i="22" s="1"/>
  <c r="E9" i="22" s="1"/>
  <c r="C10" i="22"/>
  <c r="D10" i="22" s="1"/>
  <c r="E10" i="22" s="1"/>
  <c r="C3" i="22"/>
  <c r="D3" i="22" s="1"/>
  <c r="E3" i="22" s="1"/>
  <c r="K12" i="19" l="1"/>
  <c r="K20" i="19"/>
  <c r="K28" i="19"/>
  <c r="K13" i="19"/>
  <c r="L13" i="19" s="1"/>
  <c r="K21" i="19"/>
  <c r="K14" i="19"/>
  <c r="L14" i="19" s="1"/>
  <c r="N14" i="19" s="1"/>
  <c r="K22" i="19"/>
  <c r="K30" i="19"/>
  <c r="L30" i="19" s="1"/>
  <c r="K25" i="19"/>
  <c r="K15" i="19"/>
  <c r="L15" i="19" s="1"/>
  <c r="K23" i="19"/>
  <c r="K11" i="19"/>
  <c r="L11" i="19" s="1"/>
  <c r="N11" i="19" s="1"/>
  <c r="K16" i="19"/>
  <c r="L16" i="19" s="1"/>
  <c r="K24" i="19"/>
  <c r="L24" i="19" s="1"/>
  <c r="K18" i="19"/>
  <c r="L18" i="19" s="1"/>
  <c r="K27" i="19"/>
  <c r="L27" i="19" s="1"/>
  <c r="K17" i="19"/>
  <c r="K26" i="19"/>
  <c r="L26" i="19" s="1"/>
  <c r="K19" i="19"/>
  <c r="K29" i="19"/>
  <c r="L29" i="19" s="1"/>
  <c r="J12" i="19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F12" i="19"/>
  <c r="F11" i="19"/>
  <c r="B13" i="19"/>
  <c r="L23" i="19"/>
  <c r="L12" i="19"/>
  <c r="L20" i="19"/>
  <c r="L28" i="19"/>
  <c r="L17" i="19"/>
  <c r="L25" i="19"/>
  <c r="L22" i="19"/>
  <c r="L19" i="19"/>
  <c r="L21" i="19"/>
  <c r="F10" i="22"/>
  <c r="E8" i="21"/>
  <c r="F8" i="21" s="1"/>
  <c r="H8" i="21" s="1"/>
  <c r="E11" i="21"/>
  <c r="F11" i="21" s="1"/>
  <c r="E13" i="21"/>
  <c r="F13" i="21" s="1"/>
  <c r="E16" i="21"/>
  <c r="F16" i="21" s="1"/>
  <c r="H16" i="21" s="1"/>
  <c r="E19" i="21"/>
  <c r="F19" i="21" s="1"/>
  <c r="E21" i="21"/>
  <c r="F21" i="21" s="1"/>
  <c r="E24" i="21"/>
  <c r="F24" i="21" s="1"/>
  <c r="H24" i="21" s="1"/>
  <c r="E27" i="21"/>
  <c r="F27" i="21" s="1"/>
  <c r="E29" i="21"/>
  <c r="F29" i="21" s="1"/>
  <c r="E32" i="21"/>
  <c r="F32" i="21" s="1"/>
  <c r="H32" i="21" s="1"/>
  <c r="F7" i="21"/>
  <c r="E33" i="21"/>
  <c r="F33" i="21" s="1"/>
  <c r="E31" i="21"/>
  <c r="F31" i="21" s="1"/>
  <c r="E30" i="21"/>
  <c r="F30" i="21" s="1"/>
  <c r="H30" i="21" s="1"/>
  <c r="E28" i="21"/>
  <c r="F28" i="21" s="1"/>
  <c r="H28" i="21" s="1"/>
  <c r="E26" i="21"/>
  <c r="F26" i="21" s="1"/>
  <c r="H26" i="21" s="1"/>
  <c r="E25" i="21"/>
  <c r="F25" i="21" s="1"/>
  <c r="E23" i="21"/>
  <c r="F23" i="21" s="1"/>
  <c r="E22" i="21"/>
  <c r="F22" i="21" s="1"/>
  <c r="H22" i="21" s="1"/>
  <c r="E20" i="21"/>
  <c r="F20" i="21" s="1"/>
  <c r="H20" i="21" s="1"/>
  <c r="E18" i="21"/>
  <c r="F18" i="21" s="1"/>
  <c r="H18" i="21" s="1"/>
  <c r="E17" i="21"/>
  <c r="F17" i="21" s="1"/>
  <c r="E15" i="21"/>
  <c r="F15" i="21" s="1"/>
  <c r="E14" i="21"/>
  <c r="F14" i="21" s="1"/>
  <c r="H14" i="21" s="1"/>
  <c r="E12" i="21"/>
  <c r="F12" i="21" s="1"/>
  <c r="H12" i="21" s="1"/>
  <c r="E10" i="21"/>
  <c r="F10" i="21" s="1"/>
  <c r="H10" i="21" s="1"/>
  <c r="E9" i="21"/>
  <c r="F9" i="21" s="1"/>
  <c r="N13" i="19" l="1"/>
  <c r="N12" i="19"/>
  <c r="N15" i="19"/>
  <c r="J27" i="19"/>
  <c r="J28" i="19" s="1"/>
  <c r="J29" i="19" s="1"/>
  <c r="J30" i="19" s="1"/>
  <c r="N30" i="19" s="1"/>
  <c r="N26" i="19"/>
  <c r="N17" i="19"/>
  <c r="N16" i="19"/>
  <c r="N28" i="19"/>
  <c r="N24" i="19"/>
  <c r="N19" i="19"/>
  <c r="N22" i="19"/>
  <c r="N25" i="19"/>
  <c r="N21" i="19"/>
  <c r="N20" i="19"/>
  <c r="N18" i="19"/>
  <c r="N23" i="19"/>
  <c r="B14" i="19"/>
  <c r="F13" i="19"/>
  <c r="H7" i="21"/>
  <c r="G7" i="21"/>
  <c r="H9" i="21"/>
  <c r="G9" i="21"/>
  <c r="H25" i="21"/>
  <c r="G25" i="21"/>
  <c r="H19" i="21"/>
  <c r="G19" i="21"/>
  <c r="H15" i="21"/>
  <c r="G15" i="21"/>
  <c r="H31" i="21"/>
  <c r="G31" i="21"/>
  <c r="H21" i="21"/>
  <c r="G21" i="21"/>
  <c r="H11" i="21"/>
  <c r="G11" i="21"/>
  <c r="H27" i="21"/>
  <c r="G27" i="21"/>
  <c r="H17" i="21"/>
  <c r="G17" i="21"/>
  <c r="H33" i="21"/>
  <c r="G33" i="21"/>
  <c r="H23" i="21"/>
  <c r="G23" i="21"/>
  <c r="H13" i="21"/>
  <c r="G13" i="21"/>
  <c r="H29" i="21"/>
  <c r="G29" i="21"/>
  <c r="G8" i="21"/>
  <c r="G10" i="21"/>
  <c r="G12" i="21"/>
  <c r="G14" i="21"/>
  <c r="G16" i="21"/>
  <c r="G18" i="21"/>
  <c r="G20" i="21"/>
  <c r="G22" i="21"/>
  <c r="G24" i="21"/>
  <c r="G26" i="21"/>
  <c r="G28" i="21"/>
  <c r="G30" i="21"/>
  <c r="G32" i="21"/>
  <c r="N29" i="19" l="1"/>
  <c r="N27" i="19"/>
  <c r="O30" i="19"/>
  <c r="O32" i="19" s="1"/>
  <c r="B15" i="19"/>
  <c r="F14" i="19"/>
  <c r="E5" i="21"/>
  <c r="H2" i="21"/>
  <c r="C14" i="1" l="1"/>
  <c r="B14" i="1"/>
  <c r="B16" i="19"/>
  <c r="F15" i="19"/>
  <c r="C36" i="18"/>
  <c r="B3" i="18"/>
  <c r="B4" i="18" s="1"/>
  <c r="B17" i="19" l="1"/>
  <c r="F16" i="19"/>
  <c r="B5" i="18"/>
  <c r="B18" i="19" l="1"/>
  <c r="F17" i="19"/>
  <c r="B6" i="18"/>
  <c r="B19" i="19" l="1"/>
  <c r="F18" i="19"/>
  <c r="B7" i="18"/>
  <c r="B20" i="19" l="1"/>
  <c r="F19" i="19"/>
  <c r="B8" i="18"/>
  <c r="B21" i="19" l="1"/>
  <c r="F20" i="19"/>
  <c r="B9" i="18"/>
  <c r="B22" i="19" l="1"/>
  <c r="F21" i="19"/>
  <c r="B10" i="18"/>
  <c r="B23" i="19" l="1"/>
  <c r="F22" i="19"/>
  <c r="B11" i="18"/>
  <c r="B24" i="19" l="1"/>
  <c r="F23" i="19"/>
  <c r="B12" i="18"/>
  <c r="B25" i="19" l="1"/>
  <c r="F24" i="19"/>
  <c r="B13" i="18"/>
  <c r="B26" i="19" l="1"/>
  <c r="F25" i="19"/>
  <c r="B14" i="18"/>
  <c r="B27" i="19" l="1"/>
  <c r="F26" i="19"/>
  <c r="B15" i="18"/>
  <c r="B28" i="19" l="1"/>
  <c r="F27" i="19"/>
  <c r="B16" i="18"/>
  <c r="B29" i="19" l="1"/>
  <c r="F28" i="19"/>
  <c r="B17" i="18"/>
  <c r="B30" i="19" l="1"/>
  <c r="F30" i="19" s="1"/>
  <c r="F29" i="19"/>
  <c r="B18" i="18"/>
  <c r="G30" i="19" l="1"/>
  <c r="G32" i="19" s="1"/>
  <c r="B19" i="18"/>
  <c r="B20" i="18" l="1"/>
  <c r="B21" i="18" l="1"/>
  <c r="B22" i="18" l="1"/>
  <c r="B23" i="18" l="1"/>
  <c r="B24" i="18" l="1"/>
  <c r="B25" i="18" l="1"/>
  <c r="B26" i="18" l="1"/>
  <c r="B27" i="18" l="1"/>
  <c r="B28" i="18" l="1"/>
  <c r="B29" i="18" l="1"/>
  <c r="B30" i="18" l="1"/>
  <c r="B31" i="18" l="1"/>
  <c r="B32" i="18" l="1"/>
  <c r="B33" i="18" l="1"/>
  <c r="B34" i="18" l="1"/>
  <c r="B35" i="18" l="1"/>
  <c r="B36" i="18" l="1"/>
  <c r="C35" i="18"/>
  <c r="C3" i="18" l="1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</calcChain>
</file>

<file path=xl/sharedStrings.xml><?xml version="1.0" encoding="utf-8"?>
<sst xmlns="http://schemas.openxmlformats.org/spreadsheetml/2006/main" count="221" uniqueCount="167">
  <si>
    <t>Name</t>
  </si>
  <si>
    <t>maxage</t>
  </si>
  <si>
    <t>R0</t>
  </si>
  <si>
    <t>M</t>
  </si>
  <si>
    <t>Msd</t>
  </si>
  <si>
    <t>Mgrad</t>
  </si>
  <si>
    <t>h</t>
  </si>
  <si>
    <t>SRrel</t>
  </si>
  <si>
    <t>Linf</t>
  </si>
  <si>
    <t>Linfsd</t>
  </si>
  <si>
    <t>Linfgrad</t>
  </si>
  <si>
    <t>K</t>
  </si>
  <si>
    <t>Ksd</t>
  </si>
  <si>
    <t>Kgrad</t>
  </si>
  <si>
    <t>t0</t>
  </si>
  <si>
    <t>AC</t>
  </si>
  <si>
    <t>a</t>
  </si>
  <si>
    <t>b</t>
  </si>
  <si>
    <t>L50</t>
  </si>
  <si>
    <t>L50_95</t>
  </si>
  <si>
    <t>D</t>
  </si>
  <si>
    <t>Perr</t>
  </si>
  <si>
    <t>Frac_area_1</t>
  </si>
  <si>
    <t>Prob_staying</t>
  </si>
  <si>
    <t>nyears</t>
  </si>
  <si>
    <t>Spat_targ</t>
  </si>
  <si>
    <t>SelYears</t>
  </si>
  <si>
    <t>AbsSelYears</t>
  </si>
  <si>
    <t>LFSLower</t>
  </si>
  <si>
    <t>LFSUpper</t>
  </si>
  <si>
    <t>L5Lower</t>
  </si>
  <si>
    <t>L5Upper</t>
  </si>
  <si>
    <t>VmaxLower</t>
  </si>
  <si>
    <t>VmaxUpper</t>
  </si>
  <si>
    <t>LFS</t>
  </si>
  <si>
    <t>L5</t>
  </si>
  <si>
    <t>Vmaxlen</t>
  </si>
  <si>
    <t>qinc</t>
  </si>
  <si>
    <t>qcv</t>
  </si>
  <si>
    <t>EffYears</t>
  </si>
  <si>
    <t>EffLower</t>
  </si>
  <si>
    <t>EffUpper</t>
  </si>
  <si>
    <t>isRel</t>
  </si>
  <si>
    <t>Cobs</t>
  </si>
  <si>
    <t>Cbiascv</t>
  </si>
  <si>
    <t>CAA_nsamp</t>
  </si>
  <si>
    <t>CAA_ESS</t>
  </si>
  <si>
    <t>CAL_nsamp</t>
  </si>
  <si>
    <t>CAL_ESS</t>
  </si>
  <si>
    <t>Iobs</t>
  </si>
  <si>
    <t>Dbiascv</t>
  </si>
  <si>
    <t>beta</t>
  </si>
  <si>
    <t>TACSD</t>
  </si>
  <si>
    <t>TACFrac</t>
  </si>
  <si>
    <t>SizeLimSD</t>
  </si>
  <si>
    <t>SizeLimFrac</t>
  </si>
  <si>
    <t>Source</t>
  </si>
  <si>
    <t>Period</t>
  </si>
  <si>
    <t>Amplitude</t>
  </si>
  <si>
    <t>Fdisc</t>
  </si>
  <si>
    <t>Esd</t>
  </si>
  <si>
    <t>LR5</t>
  </si>
  <si>
    <t>LFR</t>
  </si>
  <si>
    <t>Rmaxlen</t>
  </si>
  <si>
    <t>DR</t>
  </si>
  <si>
    <t>CurrentYr</t>
  </si>
  <si>
    <t>Slot</t>
  </si>
  <si>
    <t>nsim</t>
  </si>
  <si>
    <t>proyears</t>
  </si>
  <si>
    <t>interval</t>
  </si>
  <si>
    <t>pstar</t>
  </si>
  <si>
    <t>maxF</t>
  </si>
  <si>
    <t>reps</t>
  </si>
  <si>
    <t>Defaults</t>
  </si>
  <si>
    <t>M2</t>
  </si>
  <si>
    <t>Mexp</t>
  </si>
  <si>
    <t>LenCV</t>
  </si>
  <si>
    <t>Column1</t>
  </si>
  <si>
    <t>Column2</t>
  </si>
  <si>
    <t>Btbiascv</t>
  </si>
  <si>
    <t>Ibiascv</t>
  </si>
  <si>
    <t>Dobs</t>
  </si>
  <si>
    <t>Btobs</t>
  </si>
  <si>
    <t>Mbiascv</t>
  </si>
  <si>
    <t>Kbiascv</t>
  </si>
  <si>
    <t>t0biascv</t>
  </si>
  <si>
    <t>Linfbiascv</t>
  </si>
  <si>
    <t>LFCbiascv</t>
  </si>
  <si>
    <t>LFSbiascv</t>
  </si>
  <si>
    <t>FMSYbiascv</t>
  </si>
  <si>
    <t>FMSY_Mbiascv</t>
  </si>
  <si>
    <t>BMSY_B0biascv</t>
  </si>
  <si>
    <t>Irefbiascv</t>
  </si>
  <si>
    <t>Crefbiascv</t>
  </si>
  <si>
    <t>Brefbiascv</t>
  </si>
  <si>
    <t>hbiascv</t>
  </si>
  <si>
    <t>Recbiascv</t>
  </si>
  <si>
    <t>TAESD</t>
  </si>
  <si>
    <t>TAEFrac</t>
  </si>
  <si>
    <t>LenMbiascv</t>
  </si>
  <si>
    <t>Column3</t>
  </si>
  <si>
    <t>Species</t>
  </si>
  <si>
    <t>Gadus morhua</t>
  </si>
  <si>
    <t>Mmu</t>
  </si>
  <si>
    <t>Relatively high variance in M</t>
  </si>
  <si>
    <t>SSB0</t>
  </si>
  <si>
    <t>min</t>
  </si>
  <si>
    <t>Procsd</t>
  </si>
  <si>
    <t>max</t>
  </si>
  <si>
    <t>est</t>
  </si>
  <si>
    <t>obj</t>
  </si>
  <si>
    <t>SSB</t>
  </si>
  <si>
    <t>Frac</t>
  </si>
  <si>
    <t>Pred</t>
  </si>
  <si>
    <t>sqerr</t>
  </si>
  <si>
    <t>recdev</t>
  </si>
  <si>
    <t>ACF</t>
  </si>
  <si>
    <t>From Figure 51</t>
  </si>
  <si>
    <t>From the SR sheet</t>
  </si>
  <si>
    <t>Age</t>
  </si>
  <si>
    <t>Length</t>
  </si>
  <si>
    <t>4X West</t>
  </si>
  <si>
    <t>Upper bound</t>
  </si>
  <si>
    <t>Age at maturity</t>
  </si>
  <si>
    <t>Lower bound</t>
  </si>
  <si>
    <t>A50</t>
  </si>
  <si>
    <t>A50cv</t>
  </si>
  <si>
    <t>k</t>
  </si>
  <si>
    <t>N</t>
  </si>
  <si>
    <t>L</t>
  </si>
  <si>
    <t>W</t>
  </si>
  <si>
    <t># kgs</t>
  </si>
  <si>
    <t>tonnes</t>
  </si>
  <si>
    <t>Agency</t>
  </si>
  <si>
    <t>Region</t>
  </si>
  <si>
    <t>Latitude</t>
  </si>
  <si>
    <t>Longitude</t>
  </si>
  <si>
    <t>from VPA cpars</t>
  </si>
  <si>
    <t>proportional to density</t>
  </si>
  <si>
    <t>very little</t>
  </si>
  <si>
    <t>moderate</t>
  </si>
  <si>
    <t>Cod 5ZJM</t>
  </si>
  <si>
    <t>Cod_5ZJM_DFO</t>
  </si>
  <si>
    <t>Recruitment</t>
  </si>
  <si>
    <t>Using the SR sheet as a minimum bound on resilience</t>
  </si>
  <si>
    <t>Assessment assumptin is 0.2 from 1983-1995</t>
  </si>
  <si>
    <t>SE</t>
  </si>
  <si>
    <t>CV</t>
  </si>
  <si>
    <t>cohort</t>
  </si>
  <si>
    <t>ln Linf</t>
  </si>
  <si>
    <t>ln K</t>
  </si>
  <si>
    <t>mean from length at age sheet</t>
  </si>
  <si>
    <t>Martin R. Legault C.M. Want Y. Brooks E.N. 2017. Assessment of Eastern Georges Bank Atlantic Cod for 2017. Fisheries and Oceans Canada. 2017/01</t>
  </si>
  <si>
    <t>mean</t>
  </si>
  <si>
    <t>age at maturity</t>
  </si>
  <si>
    <t>Cod_5ZJM_DFO_Fleet</t>
  </si>
  <si>
    <t>Model y</t>
  </si>
  <si>
    <t>year</t>
  </si>
  <si>
    <t>1978 - 2016</t>
  </si>
  <si>
    <t>Column4</t>
  </si>
  <si>
    <t>Size_area_1</t>
  </si>
  <si>
    <t>Atlantic cod</t>
  </si>
  <si>
    <t>Common_Name</t>
  </si>
  <si>
    <t>Atlantic 5ZJM</t>
  </si>
  <si>
    <t>Cod_5ZJM_DFO_Obs</t>
  </si>
  <si>
    <t>Cod_5ZJM_DFO_Imp</t>
  </si>
  <si>
    <t>DFO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</si>
</sst>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1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1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1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1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1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1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9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4" fontId="0" fillId="0" borderId="0" xfId="0" applyNumberFormat="1"/>
    <xf numFmtId="0" fontId="2" fillId="0" borderId="0" xfId="0" applyFont="1"/>
    <xf numFmtId="0" fontId="4" fillId="0" borderId="0" xfId="0" applyFont="1"/>
    <xf numFmtId="1" fontId="4" fillId="0" borderId="0" xfId="1" applyNumberFormat="1" applyFont="1"/>
    <xf numFmtId="2" fontId="4" fillId="0" borderId="0" xfId="1" applyNumberFormat="1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19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/>
    <xf numFmtId="0" fontId="27" fillId="0" borderId="0" xfId="0" applyFont="1" applyAlignment="1">
      <alignment horizontal="right" vertical="center"/>
    </xf>
    <xf numFmtId="0" fontId="26" fillId="0" borderId="0" xfId="0" applyFont="1" applyBorder="1" applyAlignment="1">
      <alignment horizontal="center" vertical="center"/>
    </xf>
    <xf numFmtId="0" fontId="30" fillId="0" borderId="10" xfId="43" applyFont="1" applyBorder="1" applyAlignment="1">
      <alignment horizontal="right"/>
    </xf>
    <xf numFmtId="0" fontId="30" fillId="0" borderId="10" xfId="43" applyFont="1" applyBorder="1"/>
    <xf numFmtId="0" fontId="30" fillId="0" borderId="10" xfId="43" applyFont="1" applyBorder="1" applyAlignment="1">
      <alignment horizontal="center"/>
    </xf>
    <xf numFmtId="0" fontId="29" fillId="0" borderId="0" xfId="43"/>
    <xf numFmtId="0" fontId="29" fillId="0" borderId="0" xfId="43" applyFont="1" applyAlignment="1">
      <alignment horizontal="right"/>
    </xf>
    <xf numFmtId="1" fontId="29" fillId="0" borderId="0" xfId="43" applyNumberFormat="1" applyFont="1" applyFill="1" applyAlignment="1">
      <alignment horizontal="center"/>
    </xf>
    <xf numFmtId="2" fontId="29" fillId="0" borderId="0" xfId="43" applyNumberFormat="1" applyFont="1" applyFill="1" applyAlignment="1">
      <alignment horizontal="center"/>
    </xf>
    <xf numFmtId="2" fontId="28" fillId="0" borderId="0" xfId="43" applyNumberFormat="1" applyFont="1" applyFill="1" applyAlignment="1">
      <alignment horizontal="center"/>
    </xf>
    <xf numFmtId="0" fontId="29" fillId="0" borderId="11" xfId="43" applyFont="1" applyBorder="1" applyAlignment="1">
      <alignment horizontal="right"/>
    </xf>
    <xf numFmtId="1" fontId="29" fillId="0" borderId="11" xfId="43" applyNumberFormat="1" applyFont="1" applyFill="1" applyBorder="1" applyAlignment="1">
      <alignment horizontal="center"/>
    </xf>
    <xf numFmtId="2" fontId="29" fillId="0" borderId="11" xfId="43" applyNumberFormat="1" applyFont="1" applyFill="1" applyBorder="1" applyAlignment="1">
      <alignment horizontal="center"/>
    </xf>
    <xf numFmtId="2" fontId="28" fillId="0" borderId="11" xfId="43" applyNumberFormat="1" applyFont="1" applyFill="1" applyBorder="1" applyAlignment="1">
      <alignment horizontal="center"/>
    </xf>
    <xf numFmtId="0" fontId="29" fillId="0" borderId="0" xfId="43" applyFill="1"/>
    <xf numFmtId="165" fontId="29" fillId="0" borderId="0" xfId="43" applyNumberFormat="1"/>
    <xf numFmtId="164" fontId="29" fillId="0" borderId="0" xfId="43" applyNumberFormat="1"/>
    <xf numFmtId="0" fontId="29" fillId="0" borderId="0" xfId="43" applyAlignment="1">
      <alignment wrapText="1"/>
    </xf>
    <xf numFmtId="1" fontId="0" fillId="0" borderId="0" xfId="0" applyNumberFormat="1"/>
    <xf numFmtId="0" fontId="31" fillId="0" borderId="0" xfId="0" applyFont="1" applyAlignment="1">
      <alignment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3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Stock</a:t>
            </a:r>
            <a:r>
              <a:rPr lang="en-US" sz="1200" baseline="0"/>
              <a:t> Recruitment  Model fit to VPA predictions (2017 assessment document)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35870516185478"/>
          <c:y val="0.18253965116960125"/>
          <c:w val="0.83741907261592308"/>
          <c:h val="0.63857939594467328"/>
        </c:manualLayout>
      </c:layout>
      <c:scatterChart>
        <c:scatterStyle val="lineMarker"/>
        <c:varyColors val="0"/>
        <c:ser>
          <c:idx val="0"/>
          <c:order val="0"/>
          <c:tx>
            <c:strRef>
              <c:f>SR!$D$6</c:f>
              <c:strCache>
                <c:ptCount val="1"/>
                <c:pt idx="0">
                  <c:v>Recruitment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SR!$C$7:$C$44</c:f>
              <c:numCache>
                <c:formatCode>General</c:formatCode>
                <c:ptCount val="38"/>
                <c:pt idx="0">
                  <c:v>52120</c:v>
                </c:pt>
                <c:pt idx="1">
                  <c:v>46354</c:v>
                </c:pt>
                <c:pt idx="2">
                  <c:v>53981</c:v>
                </c:pt>
                <c:pt idx="3">
                  <c:v>59691</c:v>
                </c:pt>
                <c:pt idx="4">
                  <c:v>56058</c:v>
                </c:pt>
                <c:pt idx="5">
                  <c:v>48003</c:v>
                </c:pt>
                <c:pt idx="6">
                  <c:v>35542</c:v>
                </c:pt>
                <c:pt idx="7">
                  <c:v>35687</c:v>
                </c:pt>
                <c:pt idx="8">
                  <c:v>36080</c:v>
                </c:pt>
                <c:pt idx="9">
                  <c:v>31891</c:v>
                </c:pt>
                <c:pt idx="10">
                  <c:v>47736</c:v>
                </c:pt>
                <c:pt idx="11">
                  <c:v>42120</c:v>
                </c:pt>
                <c:pt idx="12">
                  <c:v>52000</c:v>
                </c:pt>
                <c:pt idx="13">
                  <c:v>42324</c:v>
                </c:pt>
                <c:pt idx="14">
                  <c:v>33483</c:v>
                </c:pt>
                <c:pt idx="15">
                  <c:v>28516</c:v>
                </c:pt>
                <c:pt idx="16">
                  <c:v>20003</c:v>
                </c:pt>
                <c:pt idx="17">
                  <c:v>15789</c:v>
                </c:pt>
                <c:pt idx="18">
                  <c:v>18842</c:v>
                </c:pt>
                <c:pt idx="19">
                  <c:v>17485</c:v>
                </c:pt>
                <c:pt idx="20">
                  <c:v>14874</c:v>
                </c:pt>
                <c:pt idx="21">
                  <c:v>16933</c:v>
                </c:pt>
                <c:pt idx="22">
                  <c:v>16501</c:v>
                </c:pt>
                <c:pt idx="23">
                  <c:v>19553</c:v>
                </c:pt>
                <c:pt idx="24">
                  <c:v>15844</c:v>
                </c:pt>
                <c:pt idx="25">
                  <c:v>11062</c:v>
                </c:pt>
                <c:pt idx="26">
                  <c:v>9984</c:v>
                </c:pt>
                <c:pt idx="27">
                  <c:v>5785</c:v>
                </c:pt>
                <c:pt idx="28">
                  <c:v>7263</c:v>
                </c:pt>
                <c:pt idx="29">
                  <c:v>7103</c:v>
                </c:pt>
                <c:pt idx="30">
                  <c:v>8292</c:v>
                </c:pt>
                <c:pt idx="31">
                  <c:v>9448</c:v>
                </c:pt>
                <c:pt idx="32">
                  <c:v>7362</c:v>
                </c:pt>
                <c:pt idx="33">
                  <c:v>6027</c:v>
                </c:pt>
                <c:pt idx="34">
                  <c:v>5028</c:v>
                </c:pt>
                <c:pt idx="35">
                  <c:v>6038</c:v>
                </c:pt>
                <c:pt idx="36">
                  <c:v>7640</c:v>
                </c:pt>
                <c:pt idx="37">
                  <c:v>8137</c:v>
                </c:pt>
              </c:numCache>
            </c:numRef>
          </c:xVal>
          <c:yVal>
            <c:numRef>
              <c:f>SR!$D$7:$D$44</c:f>
              <c:numCache>
                <c:formatCode>General</c:formatCode>
                <c:ptCount val="38"/>
                <c:pt idx="0">
                  <c:v>10450</c:v>
                </c:pt>
                <c:pt idx="1">
                  <c:v>10052</c:v>
                </c:pt>
                <c:pt idx="2">
                  <c:v>17481</c:v>
                </c:pt>
                <c:pt idx="3">
                  <c:v>5693</c:v>
                </c:pt>
                <c:pt idx="4">
                  <c:v>5107</c:v>
                </c:pt>
                <c:pt idx="5">
                  <c:v>14264</c:v>
                </c:pt>
                <c:pt idx="6">
                  <c:v>5273</c:v>
                </c:pt>
                <c:pt idx="7">
                  <c:v>24077</c:v>
                </c:pt>
                <c:pt idx="8">
                  <c:v>8242</c:v>
                </c:pt>
                <c:pt idx="9">
                  <c:v>14133</c:v>
                </c:pt>
                <c:pt idx="10">
                  <c:v>5133</c:v>
                </c:pt>
                <c:pt idx="11">
                  <c:v>7451</c:v>
                </c:pt>
                <c:pt idx="12">
                  <c:v>9650</c:v>
                </c:pt>
                <c:pt idx="13">
                  <c:v>3653</c:v>
                </c:pt>
                <c:pt idx="14">
                  <c:v>4723</c:v>
                </c:pt>
                <c:pt idx="15">
                  <c:v>3561</c:v>
                </c:pt>
                <c:pt idx="16">
                  <c:v>2093</c:v>
                </c:pt>
                <c:pt idx="17">
                  <c:v>3592</c:v>
                </c:pt>
                <c:pt idx="18">
                  <c:v>5629</c:v>
                </c:pt>
                <c:pt idx="19">
                  <c:v>2177</c:v>
                </c:pt>
                <c:pt idx="20">
                  <c:v>4862</c:v>
                </c:pt>
                <c:pt idx="21">
                  <c:v>1888</c:v>
                </c:pt>
                <c:pt idx="22">
                  <c:v>1188</c:v>
                </c:pt>
                <c:pt idx="23">
                  <c:v>2347</c:v>
                </c:pt>
                <c:pt idx="24">
                  <c:v>563</c:v>
                </c:pt>
                <c:pt idx="25">
                  <c:v>4262</c:v>
                </c:pt>
                <c:pt idx="26">
                  <c:v>622</c:v>
                </c:pt>
                <c:pt idx="27">
                  <c:v>3353</c:v>
                </c:pt>
                <c:pt idx="28">
                  <c:v>1425</c:v>
                </c:pt>
                <c:pt idx="29">
                  <c:v>496</c:v>
                </c:pt>
                <c:pt idx="30">
                  <c:v>1142</c:v>
                </c:pt>
                <c:pt idx="31">
                  <c:v>1181</c:v>
                </c:pt>
                <c:pt idx="32">
                  <c:v>3155</c:v>
                </c:pt>
                <c:pt idx="33">
                  <c:v>1656</c:v>
                </c:pt>
                <c:pt idx="34">
                  <c:v>762</c:v>
                </c:pt>
                <c:pt idx="35">
                  <c:v>5951</c:v>
                </c:pt>
                <c:pt idx="36">
                  <c:v>2646</c:v>
                </c:pt>
                <c:pt idx="37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1-4AF8-AA83-1F4BE6129CC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SR!$C$7:$C$44</c:f>
              <c:numCache>
                <c:formatCode>General</c:formatCode>
                <c:ptCount val="38"/>
                <c:pt idx="0">
                  <c:v>52120</c:v>
                </c:pt>
                <c:pt idx="1">
                  <c:v>46354</c:v>
                </c:pt>
                <c:pt idx="2">
                  <c:v>53981</c:v>
                </c:pt>
                <c:pt idx="3">
                  <c:v>59691</c:v>
                </c:pt>
                <c:pt idx="4">
                  <c:v>56058</c:v>
                </c:pt>
                <c:pt idx="5">
                  <c:v>48003</c:v>
                </c:pt>
                <c:pt idx="6">
                  <c:v>35542</c:v>
                </c:pt>
                <c:pt idx="7">
                  <c:v>35687</c:v>
                </c:pt>
                <c:pt idx="8">
                  <c:v>36080</c:v>
                </c:pt>
                <c:pt idx="9">
                  <c:v>31891</c:v>
                </c:pt>
                <c:pt idx="10">
                  <c:v>47736</c:v>
                </c:pt>
                <c:pt idx="11">
                  <c:v>42120</c:v>
                </c:pt>
                <c:pt idx="12">
                  <c:v>52000</c:v>
                </c:pt>
                <c:pt idx="13">
                  <c:v>42324</c:v>
                </c:pt>
                <c:pt idx="14">
                  <c:v>33483</c:v>
                </c:pt>
                <c:pt idx="15">
                  <c:v>28516</c:v>
                </c:pt>
                <c:pt idx="16">
                  <c:v>20003</c:v>
                </c:pt>
                <c:pt idx="17">
                  <c:v>15789</c:v>
                </c:pt>
                <c:pt idx="18">
                  <c:v>18842</c:v>
                </c:pt>
                <c:pt idx="19">
                  <c:v>17485</c:v>
                </c:pt>
                <c:pt idx="20">
                  <c:v>14874</c:v>
                </c:pt>
                <c:pt idx="21">
                  <c:v>16933</c:v>
                </c:pt>
                <c:pt idx="22">
                  <c:v>16501</c:v>
                </c:pt>
                <c:pt idx="23">
                  <c:v>19553</c:v>
                </c:pt>
                <c:pt idx="24">
                  <c:v>15844</c:v>
                </c:pt>
                <c:pt idx="25">
                  <c:v>11062</c:v>
                </c:pt>
                <c:pt idx="26">
                  <c:v>9984</c:v>
                </c:pt>
                <c:pt idx="27">
                  <c:v>5785</c:v>
                </c:pt>
                <c:pt idx="28">
                  <c:v>7263</c:v>
                </c:pt>
                <c:pt idx="29">
                  <c:v>7103</c:v>
                </c:pt>
                <c:pt idx="30">
                  <c:v>8292</c:v>
                </c:pt>
                <c:pt idx="31">
                  <c:v>9448</c:v>
                </c:pt>
                <c:pt idx="32">
                  <c:v>7362</c:v>
                </c:pt>
                <c:pt idx="33">
                  <c:v>6027</c:v>
                </c:pt>
                <c:pt idx="34">
                  <c:v>5028</c:v>
                </c:pt>
                <c:pt idx="35">
                  <c:v>6038</c:v>
                </c:pt>
                <c:pt idx="36">
                  <c:v>7640</c:v>
                </c:pt>
                <c:pt idx="37">
                  <c:v>8137</c:v>
                </c:pt>
              </c:numCache>
            </c:numRef>
          </c:xVal>
          <c:yVal>
            <c:numRef>
              <c:f>SR!$F$7:$F$44</c:f>
              <c:numCache>
                <c:formatCode>General</c:formatCode>
                <c:ptCount val="38"/>
                <c:pt idx="0">
                  <c:v>8674.6327980840579</c:v>
                </c:pt>
                <c:pt idx="1">
                  <c:v>7788.0876520763777</c:v>
                </c:pt>
                <c:pt idx="2">
                  <c:v>8957.2259148921767</c:v>
                </c:pt>
                <c:pt idx="3">
                  <c:v>9813.7309368942351</c:v>
                </c:pt>
                <c:pt idx="4">
                  <c:v>9270.609092284194</c:v>
                </c:pt>
                <c:pt idx="5">
                  <c:v>8043.3390789466148</c:v>
                </c:pt>
                <c:pt idx="6">
                  <c:v>6079.5789275442748</c:v>
                </c:pt>
                <c:pt idx="7">
                  <c:v>6102.9007140608792</c:v>
                </c:pt>
                <c:pt idx="8">
                  <c:v>6166.0539365065461</c:v>
                </c:pt>
                <c:pt idx="9">
                  <c:v>5488.5989795062642</c:v>
                </c:pt>
                <c:pt idx="10">
                  <c:v>8002.1033854206171</c:v>
                </c:pt>
                <c:pt idx="11">
                  <c:v>7126.3174875040922</c:v>
                </c:pt>
                <c:pt idx="12">
                  <c:v>8656.3519889618001</c:v>
                </c:pt>
                <c:pt idx="13">
                  <c:v>7158.415124205374</c:v>
                </c:pt>
                <c:pt idx="14">
                  <c:v>5747.1838211142049</c:v>
                </c:pt>
                <c:pt idx="15">
                  <c:v>4935.7945442497476</c:v>
                </c:pt>
                <c:pt idx="16">
                  <c:v>3512.9350937037539</c:v>
                </c:pt>
                <c:pt idx="17">
                  <c:v>2793.0943629826079</c:v>
                </c:pt>
                <c:pt idx="18">
                  <c:v>3315.654060335994</c:v>
                </c:pt>
                <c:pt idx="19">
                  <c:v>3084.066082899868</c:v>
                </c:pt>
                <c:pt idx="20">
                  <c:v>2635.4032259015239</c:v>
                </c:pt>
                <c:pt idx="21">
                  <c:v>2989.5501633241861</c:v>
                </c:pt>
                <c:pt idx="22">
                  <c:v>2915.4553638526831</c:v>
                </c:pt>
                <c:pt idx="23">
                  <c:v>3436.5630639075657</c:v>
                </c:pt>
                <c:pt idx="24">
                  <c:v>2802.5571535549693</c:v>
                </c:pt>
                <c:pt idx="25">
                  <c:v>1973.0238746532489</c:v>
                </c:pt>
                <c:pt idx="26">
                  <c:v>1784.1074205128705</c:v>
                </c:pt>
                <c:pt idx="27">
                  <c:v>1041.4053305812474</c:v>
                </c:pt>
                <c:pt idx="28">
                  <c:v>1304.0775567546877</c:v>
                </c:pt>
                <c:pt idx="29">
                  <c:v>1275.7079882274816</c:v>
                </c:pt>
                <c:pt idx="30">
                  <c:v>1486.1489464027757</c:v>
                </c:pt>
                <c:pt idx="31">
                  <c:v>1689.9096283516799</c:v>
                </c:pt>
                <c:pt idx="32">
                  <c:v>1321.6232421011143</c:v>
                </c:pt>
                <c:pt idx="33">
                  <c:v>1084.5074947080673</c:v>
                </c:pt>
                <c:pt idx="34">
                  <c:v>906.33994150357489</c:v>
                </c:pt>
                <c:pt idx="35">
                  <c:v>1086.4658113668659</c:v>
                </c:pt>
                <c:pt idx="36">
                  <c:v>1370.8603362281892</c:v>
                </c:pt>
                <c:pt idx="37">
                  <c:v>1458.7652700674544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1-4AF8-AA83-1F4BE6129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95552"/>
        <c:axId val="762495944"/>
      </c:scatterChart>
      <c:valAx>
        <c:axId val="76249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SSB (000mt)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5944"/>
        <c:crosses val="autoZero"/>
        <c:crossBetween val="midCat"/>
      </c:valAx>
      <c:valAx>
        <c:axId val="76249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Recruitment (000s)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Fitted Growth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2537182852144"/>
          <c:y val="0.17171296296296296"/>
          <c:w val="0.7491128608923883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West Observed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Growth!$A$3:$A$10</c:f>
              <c:numCache>
                <c:formatCode>General</c:formatCode>
                <c:ptCount val="8"/>
                <c:pt idx="0">
                  <c:v>0.96111111111111103</c:v>
                </c:pt>
                <c:pt idx="1">
                  <c:v>1.9722222222222201</c:v>
                </c:pt>
                <c:pt idx="2">
                  <c:v>2.9638888888888801</c:v>
                </c:pt>
                <c:pt idx="3">
                  <c:v>3.9555555555555499</c:v>
                </c:pt>
                <c:pt idx="4">
                  <c:v>4.9666666666666597</c:v>
                </c:pt>
                <c:pt idx="5">
                  <c:v>5.9388888888888802</c:v>
                </c:pt>
                <c:pt idx="6">
                  <c:v>6.9694444444444397</c:v>
                </c:pt>
                <c:pt idx="7">
                  <c:v>7.9611111111111104</c:v>
                </c:pt>
              </c:numCache>
            </c:numRef>
          </c:xVal>
          <c:yVal>
            <c:numRef>
              <c:f>Growth!$B$3:$B$10</c:f>
              <c:numCache>
                <c:formatCode>General</c:formatCode>
                <c:ptCount val="8"/>
                <c:pt idx="0">
                  <c:v>24.676470588235201</c:v>
                </c:pt>
                <c:pt idx="1">
                  <c:v>42.259803921568597</c:v>
                </c:pt>
                <c:pt idx="2">
                  <c:v>55.873774509803901</c:v>
                </c:pt>
                <c:pt idx="3">
                  <c:v>69.046568627450895</c:v>
                </c:pt>
                <c:pt idx="4">
                  <c:v>79.129901960784295</c:v>
                </c:pt>
                <c:pt idx="5">
                  <c:v>87.450980392156794</c:v>
                </c:pt>
                <c:pt idx="6">
                  <c:v>93.5625</c:v>
                </c:pt>
                <c:pt idx="7">
                  <c:v>100.117647058823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2-409C-87C6-9D136B3D3628}"/>
            </c:ext>
          </c:extLst>
        </c:ser>
        <c:ser>
          <c:idx val="1"/>
          <c:order val="1"/>
          <c:tx>
            <c:v>West predicted</c:v>
          </c:tx>
          <c:spPr>
            <a:ln w="2540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Growth!$A$3:$A$10</c:f>
              <c:numCache>
                <c:formatCode>General</c:formatCode>
                <c:ptCount val="8"/>
                <c:pt idx="0">
                  <c:v>0.96111111111111103</c:v>
                </c:pt>
                <c:pt idx="1">
                  <c:v>1.9722222222222201</c:v>
                </c:pt>
                <c:pt idx="2">
                  <c:v>2.9638888888888801</c:v>
                </c:pt>
                <c:pt idx="3">
                  <c:v>3.9555555555555499</c:v>
                </c:pt>
                <c:pt idx="4">
                  <c:v>4.9666666666666597</c:v>
                </c:pt>
                <c:pt idx="5">
                  <c:v>5.9388888888888802</c:v>
                </c:pt>
                <c:pt idx="6">
                  <c:v>6.9694444444444397</c:v>
                </c:pt>
                <c:pt idx="7">
                  <c:v>7.9611111111111104</c:v>
                </c:pt>
              </c:numCache>
            </c:numRef>
          </c:xVal>
          <c:yVal>
            <c:numRef>
              <c:f>Growth!$C$3:$C$10</c:f>
              <c:numCache>
                <c:formatCode>General</c:formatCode>
                <c:ptCount val="8"/>
                <c:pt idx="0">
                  <c:v>65.241854465817028</c:v>
                </c:pt>
                <c:pt idx="1">
                  <c:v>100.40652393834907</c:v>
                </c:pt>
                <c:pt idx="2">
                  <c:v>117.84759175453078</c:v>
                </c:pt>
                <c:pt idx="3">
                  <c:v>126.73280489319659</c:v>
                </c:pt>
                <c:pt idx="4">
                  <c:v>131.32106086085875</c:v>
                </c:pt>
                <c:pt idx="5">
                  <c:v>133.56529592827985</c:v>
                </c:pt>
                <c:pt idx="6">
                  <c:v>134.77190822305548</c:v>
                </c:pt>
                <c:pt idx="7">
                  <c:v>135.35476317200985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2-409C-87C6-9D136B3D3628}"/>
            </c:ext>
          </c:extLst>
        </c:ser>
        <c:ser>
          <c:idx val="2"/>
          <c:order val="2"/>
          <c:tx>
            <c:v>East Observed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Growth!$A$14:$A$21</c:f>
              <c:numCache>
                <c:formatCode>General</c:formatCode>
                <c:ptCount val="8"/>
              </c:numCache>
            </c:numRef>
          </c:xVal>
          <c:yVal>
            <c:numRef>
              <c:f>Growth!$B$14:$B$21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F2-409C-87C6-9D136B3D3628}"/>
            </c:ext>
          </c:extLst>
        </c:ser>
        <c:ser>
          <c:idx val="3"/>
          <c:order val="3"/>
          <c:tx>
            <c:v>East Predicted</c:v>
          </c:tx>
          <c:spPr>
            <a:ln w="25400" cap="rnd">
              <a:solidFill>
                <a:srgbClr val="FF0000">
                  <a:alpha val="66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Growth!$A$14:$A$21</c:f>
              <c:numCache>
                <c:formatCode>General</c:formatCode>
                <c:ptCount val="8"/>
              </c:numCache>
            </c:numRef>
          </c:xVal>
          <c:yVal>
            <c:numRef>
              <c:f>Growth!$C$14:$C$21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F2-409C-87C6-9D136B3D3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90848"/>
        <c:axId val="762489280"/>
      </c:scatterChart>
      <c:valAx>
        <c:axId val="76249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89280"/>
        <c:crosses val="autoZero"/>
        <c:crossBetween val="midCat"/>
      </c:valAx>
      <c:valAx>
        <c:axId val="7624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80489938757652"/>
          <c:y val="0.51525335374744818"/>
          <c:w val="0.23952843394575679"/>
          <c:h val="0.3125021872265967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53008</xdr:rowOff>
    </xdr:from>
    <xdr:to>
      <xdr:col>16</xdr:col>
      <xdr:colOff>228600</xdr:colOff>
      <xdr:row>27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91604-EE0D-4752-8362-D330C19CB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598170</xdr:colOff>
      <xdr:row>8</xdr:row>
      <xdr:rowOff>57150</xdr:rowOff>
    </xdr:from>
    <xdr:to>
      <xdr:col>17</xdr:col>
      <xdr:colOff>293370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5A002-2F6D-48BA-94C7-03CB30405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35</xdr:row>
      <xdr:rowOff>136525</xdr:rowOff>
    </xdr:from>
    <xdr:to>
      <xdr:col>16</xdr:col>
      <xdr:colOff>590550</xdr:colOff>
      <xdr:row>42</xdr:row>
      <xdr:rowOff>41275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5553075" y="6181725"/>
          <a:ext cx="4181475" cy="10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only have data up</a:t>
          </a:r>
          <a:r>
            <a:rPr lang="en-CA" sz="1100" baseline="0"/>
            <a:t> to the 2006 year class</a:t>
          </a:r>
          <a:endParaRPr lang="en-CA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3" displayName="Table3" ref="A1:E35" totalsRowShown="0">
  <tableColumns count="5">
    <tableColumn id="1" name="Slot"/>
    <tableColumn id="2" name="Column1"/>
    <tableColumn id="3" name="Column2"/>
    <tableColumn id="4" name="Column3"/>
    <tableColumn id="5" name="Column4" dataDxfId="0"/>
  </tableColumns>
  <tableStyleInfo name="none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B29" sqref="B29"/>
    </sheetView>
  </sheetViews>
  <sheetFormatPr defaultRowHeight="14.5" x14ac:dyDescent="0.35"/>
  <cols>
    <col min="1" max="1" width="13.453125" customWidth="1"/>
    <col min="2" max="3" width="10.453125" customWidth="1"/>
    <col min="4" max="4" width="53.1796875" customWidth="1"/>
    <col min="5" max="5" width="75.81640625" bestFit="1" customWidth="1"/>
  </cols>
  <sheetData>
    <row r="1" spans="1:6" x14ac:dyDescent="0.35">
      <c r="A1" t="s">
        <v>66</v>
      </c>
      <c r="B1" t="s">
        <v>77</v>
      </c>
      <c r="C1" t="s">
        <v>78</v>
      </c>
      <c r="D1" t="s">
        <v>100</v>
      </c>
      <c r="E1" s="3" t="s">
        <v>159</v>
      </c>
      <c r="F1" s="3"/>
    </row>
    <row r="2" spans="1:6" x14ac:dyDescent="0.35">
      <c r="A2" t="s">
        <v>0</v>
      </c>
      <c r="B2" t="s">
        <v>141</v>
      </c>
    </row>
    <row r="3" spans="1:6" s="17" customFormat="1" x14ac:dyDescent="0.35">
      <c r="A3" s="17" t="s">
        <v>162</v>
      </c>
      <c r="B3" s="17" t="s">
        <v>161</v>
      </c>
      <c r="E3" s="37"/>
    </row>
    <row r="4" spans="1:6" x14ac:dyDescent="0.35">
      <c r="A4" t="s">
        <v>101</v>
      </c>
      <c r="B4" t="s">
        <v>102</v>
      </c>
    </row>
    <row r="5" spans="1:6" x14ac:dyDescent="0.35">
      <c r="A5" t="s">
        <v>1</v>
      </c>
      <c r="B5">
        <v>20</v>
      </c>
    </row>
    <row r="6" spans="1:6" x14ac:dyDescent="0.35">
      <c r="A6" t="s">
        <v>2</v>
      </c>
      <c r="B6">
        <v>1000</v>
      </c>
      <c r="D6" t="s">
        <v>118</v>
      </c>
      <c r="E6" s="17">
        <v>6660626.8768568942</v>
      </c>
    </row>
    <row r="7" spans="1:6" x14ac:dyDescent="0.35">
      <c r="A7" t="s">
        <v>3</v>
      </c>
      <c r="B7">
        <v>0.2</v>
      </c>
      <c r="C7">
        <v>0.2</v>
      </c>
      <c r="D7" t="s">
        <v>145</v>
      </c>
    </row>
    <row r="8" spans="1:6" x14ac:dyDescent="0.35">
      <c r="A8" t="s">
        <v>74</v>
      </c>
    </row>
    <row r="9" spans="1:6" x14ac:dyDescent="0.35">
      <c r="A9" t="s">
        <v>75</v>
      </c>
    </row>
    <row r="10" spans="1:6" x14ac:dyDescent="0.35">
      <c r="A10" t="s">
        <v>4</v>
      </c>
      <c r="B10">
        <v>0.1</v>
      </c>
      <c r="C10">
        <v>0.15</v>
      </c>
      <c r="D10" t="s">
        <v>104</v>
      </c>
    </row>
    <row r="11" spans="1:6" x14ac:dyDescent="0.35">
      <c r="A11" t="s">
        <v>5</v>
      </c>
      <c r="B11">
        <v>0</v>
      </c>
      <c r="C11">
        <v>0</v>
      </c>
    </row>
    <row r="12" spans="1:6" x14ac:dyDescent="0.35">
      <c r="A12" t="s">
        <v>6</v>
      </c>
      <c r="B12">
        <v>0.23</v>
      </c>
      <c r="C12">
        <v>0.4</v>
      </c>
      <c r="D12" t="s">
        <v>144</v>
      </c>
    </row>
    <row r="13" spans="1:6" x14ac:dyDescent="0.35">
      <c r="A13" t="s">
        <v>7</v>
      </c>
      <c r="B13">
        <v>1</v>
      </c>
    </row>
    <row r="14" spans="1:6" x14ac:dyDescent="0.35">
      <c r="A14" t="s">
        <v>21</v>
      </c>
      <c r="B14">
        <f>SR!H2</f>
        <v>0.59667414319321554</v>
      </c>
      <c r="C14">
        <f>SR!H2</f>
        <v>0.59667414319321554</v>
      </c>
    </row>
    <row r="15" spans="1:6" x14ac:dyDescent="0.35">
      <c r="A15" t="s">
        <v>15</v>
      </c>
      <c r="B15" s="17">
        <f>SR!H3</f>
        <v>-0.112829</v>
      </c>
      <c r="C15" s="17">
        <f>SR!H3</f>
        <v>-0.112829</v>
      </c>
    </row>
    <row r="16" spans="1:6" x14ac:dyDescent="0.35">
      <c r="A16" t="s">
        <v>57</v>
      </c>
    </row>
    <row r="17" spans="1:6" x14ac:dyDescent="0.35">
      <c r="A17" t="s">
        <v>58</v>
      </c>
    </row>
    <row r="18" spans="1:6" x14ac:dyDescent="0.35">
      <c r="A18" t="s">
        <v>8</v>
      </c>
      <c r="B18" s="17">
        <v>136</v>
      </c>
      <c r="C18" s="17">
        <v>136</v>
      </c>
      <c r="D18" t="s">
        <v>151</v>
      </c>
    </row>
    <row r="19" spans="1:6" x14ac:dyDescent="0.35">
      <c r="A19" t="s">
        <v>11</v>
      </c>
      <c r="B19" s="17">
        <v>0.18</v>
      </c>
      <c r="C19" s="17">
        <v>0.18</v>
      </c>
      <c r="D19" s="17" t="s">
        <v>151</v>
      </c>
    </row>
    <row r="20" spans="1:6" x14ac:dyDescent="0.35">
      <c r="A20" t="s">
        <v>14</v>
      </c>
      <c r="B20" s="17">
        <v>-0.5</v>
      </c>
      <c r="C20" s="17">
        <v>-0.5</v>
      </c>
      <c r="D20" s="17" t="s">
        <v>151</v>
      </c>
    </row>
    <row r="21" spans="1:6" x14ac:dyDescent="0.35">
      <c r="A21" t="s">
        <v>76</v>
      </c>
      <c r="B21">
        <v>0.1</v>
      </c>
      <c r="C21">
        <v>0.1</v>
      </c>
      <c r="F21" s="1"/>
    </row>
    <row r="22" spans="1:6" x14ac:dyDescent="0.35">
      <c r="A22" t="s">
        <v>12</v>
      </c>
      <c r="B22">
        <v>0.3</v>
      </c>
      <c r="C22">
        <v>0.3</v>
      </c>
    </row>
    <row r="23" spans="1:6" x14ac:dyDescent="0.35">
      <c r="A23" t="s">
        <v>13</v>
      </c>
      <c r="B23">
        <v>0</v>
      </c>
      <c r="C23">
        <v>0</v>
      </c>
    </row>
    <row r="24" spans="1:6" x14ac:dyDescent="0.35">
      <c r="A24" t="s">
        <v>9</v>
      </c>
      <c r="B24">
        <v>0.16700000000000001</v>
      </c>
      <c r="C24">
        <v>0.16700000000000001</v>
      </c>
    </row>
    <row r="25" spans="1:6" x14ac:dyDescent="0.35">
      <c r="A25" t="s">
        <v>10</v>
      </c>
      <c r="B25">
        <v>0</v>
      </c>
      <c r="C25" s="2">
        <v>0</v>
      </c>
    </row>
    <row r="26" spans="1:6" x14ac:dyDescent="0.35">
      <c r="A26" t="s">
        <v>18</v>
      </c>
      <c r="B26">
        <f>'Length at age'!C30</f>
        <v>53.142070050213803</v>
      </c>
      <c r="C26">
        <f>'Length at age'!C31</f>
        <v>60.274155746852244</v>
      </c>
    </row>
    <row r="27" spans="1:6" x14ac:dyDescent="0.35">
      <c r="A27" t="s">
        <v>19</v>
      </c>
      <c r="B27">
        <v>8</v>
      </c>
      <c r="C27">
        <v>8</v>
      </c>
    </row>
    <row r="28" spans="1:6" x14ac:dyDescent="0.35">
      <c r="A28" t="s">
        <v>20</v>
      </c>
      <c r="B28">
        <v>1.4999999999999999E-2</v>
      </c>
      <c r="C28">
        <v>0.1</v>
      </c>
    </row>
    <row r="29" spans="1:6" x14ac:dyDescent="0.35">
      <c r="A29" t="s">
        <v>16</v>
      </c>
      <c r="B29">
        <v>6.9999999999999999E-6</v>
      </c>
      <c r="D29" t="s">
        <v>131</v>
      </c>
    </row>
    <row r="30" spans="1:6" x14ac:dyDescent="0.35">
      <c r="A30" t="s">
        <v>17</v>
      </c>
      <c r="B30">
        <v>3.08</v>
      </c>
      <c r="E30" s="1"/>
    </row>
    <row r="31" spans="1:6" s="17" customFormat="1" x14ac:dyDescent="0.35">
      <c r="A31" s="17" t="s">
        <v>160</v>
      </c>
      <c r="B31" s="17">
        <v>0.5</v>
      </c>
      <c r="C31" s="17">
        <v>0.5</v>
      </c>
      <c r="E31" s="1"/>
    </row>
    <row r="32" spans="1:6" x14ac:dyDescent="0.35">
      <c r="A32" t="s">
        <v>22</v>
      </c>
      <c r="B32">
        <v>0.5</v>
      </c>
      <c r="C32">
        <v>0.5</v>
      </c>
      <c r="E32" s="1"/>
    </row>
    <row r="33" spans="1:5" x14ac:dyDescent="0.35">
      <c r="A33" t="s">
        <v>23</v>
      </c>
      <c r="B33">
        <v>0.5</v>
      </c>
      <c r="C33">
        <v>0.5</v>
      </c>
    </row>
    <row r="34" spans="1:5" x14ac:dyDescent="0.35">
      <c r="A34" t="s">
        <v>59</v>
      </c>
      <c r="B34">
        <v>1</v>
      </c>
      <c r="C34">
        <v>1</v>
      </c>
    </row>
    <row r="35" spans="1:5" x14ac:dyDescent="0.35">
      <c r="A35" t="s">
        <v>56</v>
      </c>
      <c r="B35" t="s">
        <v>152</v>
      </c>
      <c r="E35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workbookViewId="0">
      <selection activeCell="N33" sqref="N33"/>
    </sheetView>
  </sheetViews>
  <sheetFormatPr defaultColWidth="8.54296875" defaultRowHeight="12.5" x14ac:dyDescent="0.25"/>
  <cols>
    <col min="1" max="16384" width="8.54296875" style="23"/>
  </cols>
  <sheetData>
    <row r="1" spans="2:14" ht="13" x14ac:dyDescent="0.3">
      <c r="B1" s="20"/>
      <c r="C1" s="21"/>
      <c r="D1" s="21"/>
      <c r="E1" s="21"/>
      <c r="F1" s="22" t="s">
        <v>146</v>
      </c>
      <c r="G1" s="22"/>
      <c r="H1" s="22"/>
      <c r="I1" s="21"/>
      <c r="J1" s="22" t="s">
        <v>147</v>
      </c>
      <c r="K1" s="21"/>
    </row>
    <row r="2" spans="2:14" ht="13" x14ac:dyDescent="0.3">
      <c r="B2" s="20" t="s">
        <v>148</v>
      </c>
      <c r="C2" s="22" t="s">
        <v>8</v>
      </c>
      <c r="D2" s="22" t="s">
        <v>11</v>
      </c>
      <c r="E2" s="22" t="s">
        <v>14</v>
      </c>
      <c r="F2" s="22" t="s">
        <v>8</v>
      </c>
      <c r="G2" s="22" t="s">
        <v>11</v>
      </c>
      <c r="H2" s="22" t="s">
        <v>14</v>
      </c>
      <c r="I2" s="22" t="s">
        <v>8</v>
      </c>
      <c r="J2" s="22" t="s">
        <v>11</v>
      </c>
      <c r="K2" s="22" t="s">
        <v>14</v>
      </c>
      <c r="M2" s="23" t="s">
        <v>149</v>
      </c>
      <c r="N2" s="23" t="s">
        <v>150</v>
      </c>
    </row>
    <row r="3" spans="2:14" x14ac:dyDescent="0.25">
      <c r="B3" s="24">
        <v>1984</v>
      </c>
      <c r="C3" s="25">
        <v>108.1943842</v>
      </c>
      <c r="D3" s="26">
        <v>0.26317193220000001</v>
      </c>
      <c r="E3" s="26">
        <v>0.21349433900000001</v>
      </c>
      <c r="F3" s="25">
        <v>11.07414453</v>
      </c>
      <c r="G3" s="26">
        <v>9.2815086190000007E-2</v>
      </c>
      <c r="H3" s="26">
        <v>0.64494785560000001</v>
      </c>
      <c r="I3" s="26">
        <v>7.4407700637712515E-2</v>
      </c>
      <c r="J3" s="26">
        <v>0.19836474766325565</v>
      </c>
      <c r="K3" s="27">
        <v>-1.1886144015622</v>
      </c>
      <c r="M3" s="23">
        <f>LN(C3)</f>
        <v>4.6839294630321522</v>
      </c>
      <c r="N3" s="23">
        <f>LN(D3)</f>
        <v>-1.3349477257949931</v>
      </c>
    </row>
    <row r="4" spans="2:14" x14ac:dyDescent="0.25">
      <c r="B4" s="24">
        <v>1985</v>
      </c>
      <c r="C4" s="25">
        <v>118.4624646</v>
      </c>
      <c r="D4" s="26">
        <v>0.18439348210000001</v>
      </c>
      <c r="E4" s="26">
        <v>-0.39142416299999999</v>
      </c>
      <c r="F4" s="25">
        <v>7.3081014069999997</v>
      </c>
      <c r="G4" s="26">
        <v>2.6973040439999998E-2</v>
      </c>
      <c r="H4" s="26">
        <v>0.21814778139999999</v>
      </c>
      <c r="I4" s="26">
        <f>F4/C4</f>
        <v>6.1691282818372155E-2</v>
      </c>
      <c r="J4" s="26">
        <f>G4/D4</f>
        <v>0.14627979325956877</v>
      </c>
      <c r="K4" s="26">
        <f>H4/E4</f>
        <v>-0.55731812703652639</v>
      </c>
      <c r="M4" s="23">
        <f t="shared" ref="M4:N25" si="0">LN(C4)</f>
        <v>4.774596155967525</v>
      </c>
      <c r="N4" s="23">
        <f t="shared" si="0"/>
        <v>-1.6906833150136311</v>
      </c>
    </row>
    <row r="5" spans="2:14" x14ac:dyDescent="0.25">
      <c r="B5" s="24">
        <v>1986</v>
      </c>
      <c r="C5" s="25">
        <v>132.57762729999999</v>
      </c>
      <c r="D5" s="26">
        <v>0.1593512221</v>
      </c>
      <c r="E5" s="26">
        <v>-0.37286046760000002</v>
      </c>
      <c r="F5" s="25">
        <v>13.675124159999999</v>
      </c>
      <c r="G5" s="26">
        <v>3.4365666830000002E-2</v>
      </c>
      <c r="H5" s="26">
        <v>0.28411712369999997</v>
      </c>
      <c r="I5" s="26">
        <f t="shared" ref="I5:K25" si="1">F5/C5</f>
        <v>0.10314805324623577</v>
      </c>
      <c r="J5" s="26">
        <f t="shared" si="1"/>
        <v>0.21565988874835246</v>
      </c>
      <c r="K5" s="26">
        <f t="shared" si="1"/>
        <v>-0.76199315397736722</v>
      </c>
      <c r="M5" s="23">
        <f t="shared" si="0"/>
        <v>4.8871683402886443</v>
      </c>
      <c r="N5" s="23">
        <f t="shared" si="0"/>
        <v>-1.8366445688667445</v>
      </c>
    </row>
    <row r="6" spans="2:14" x14ac:dyDescent="0.25">
      <c r="B6" s="24">
        <v>1987</v>
      </c>
      <c r="C6" s="25">
        <v>114.4545552</v>
      </c>
      <c r="D6" s="26">
        <v>0.20895485990000001</v>
      </c>
      <c r="E6" s="26">
        <v>-0.2146246644</v>
      </c>
      <c r="F6" s="25">
        <v>5.7017566850000003</v>
      </c>
      <c r="G6" s="26">
        <v>2.5961484690000002E-2</v>
      </c>
      <c r="H6" s="26">
        <v>0.169468223</v>
      </c>
      <c r="I6" s="26">
        <f t="shared" si="1"/>
        <v>4.9816773784465335E-2</v>
      </c>
      <c r="J6" s="26">
        <f t="shared" si="1"/>
        <v>0.12424446458160603</v>
      </c>
      <c r="K6" s="26">
        <f t="shared" si="1"/>
        <v>-0.78960273961877425</v>
      </c>
      <c r="M6" s="23">
        <f t="shared" si="0"/>
        <v>4.740177846392915</v>
      </c>
      <c r="N6" s="23">
        <f t="shared" si="0"/>
        <v>-1.5656370316843673</v>
      </c>
    </row>
    <row r="7" spans="2:14" x14ac:dyDescent="0.25">
      <c r="B7" s="24">
        <v>1988</v>
      </c>
      <c r="C7" s="25">
        <v>142.99966810000001</v>
      </c>
      <c r="D7" s="26">
        <v>0.14156553729999999</v>
      </c>
      <c r="E7" s="26">
        <v>-0.49318746559999999</v>
      </c>
      <c r="F7" s="25">
        <v>15.958357039999999</v>
      </c>
      <c r="G7" s="26">
        <v>3.0339307400000001E-2</v>
      </c>
      <c r="H7" s="26">
        <v>0.22805271260000001</v>
      </c>
      <c r="I7" s="26">
        <f t="shared" si="1"/>
        <v>0.11159716139229275</v>
      </c>
      <c r="J7" s="26">
        <f t="shared" si="1"/>
        <v>0.21431280506996672</v>
      </c>
      <c r="K7" s="26">
        <f t="shared" si="1"/>
        <v>-0.4624057351550015</v>
      </c>
      <c r="M7" s="23">
        <f t="shared" si="0"/>
        <v>4.9628423092781926</v>
      </c>
      <c r="N7" s="23">
        <f t="shared" si="0"/>
        <v>-1.9549925079941119</v>
      </c>
    </row>
    <row r="8" spans="2:14" x14ac:dyDescent="0.25">
      <c r="B8" s="24">
        <v>1989</v>
      </c>
      <c r="C8" s="25">
        <v>99.108690980000006</v>
      </c>
      <c r="D8" s="26">
        <v>0.27886138119999998</v>
      </c>
      <c r="E8" s="26">
        <v>1.9217553879999998E-2</v>
      </c>
      <c r="F8" s="25">
        <v>5.539258791</v>
      </c>
      <c r="G8" s="26">
        <v>4.7424850990000003E-2</v>
      </c>
      <c r="H8" s="26">
        <v>0.23292856410000001</v>
      </c>
      <c r="I8" s="26">
        <f t="shared" si="1"/>
        <v>5.5890747180969369E-2</v>
      </c>
      <c r="J8" s="26">
        <f t="shared" si="1"/>
        <v>0.17006604064686462</v>
      </c>
      <c r="K8" s="27">
        <f t="shared" si="1"/>
        <v>12.120614598219616</v>
      </c>
      <c r="M8" s="23">
        <f t="shared" si="0"/>
        <v>4.5962171365824283</v>
      </c>
      <c r="N8" s="23">
        <f t="shared" si="0"/>
        <v>-1.277040462204506</v>
      </c>
    </row>
    <row r="9" spans="2:14" x14ac:dyDescent="0.25">
      <c r="B9" s="24">
        <v>1990</v>
      </c>
      <c r="C9" s="25">
        <v>150.6539338</v>
      </c>
      <c r="D9" s="26">
        <v>0.1158240978</v>
      </c>
      <c r="E9" s="26">
        <v>-0.84511439639999997</v>
      </c>
      <c r="F9" s="25">
        <v>21.504666790000002</v>
      </c>
      <c r="G9" s="26">
        <v>2.9371579450000001E-2</v>
      </c>
      <c r="H9" s="26">
        <v>0.288218855</v>
      </c>
      <c r="I9" s="26">
        <f t="shared" si="1"/>
        <v>0.14274215247872937</v>
      </c>
      <c r="J9" s="26">
        <f t="shared" si="1"/>
        <v>0.25358781124043428</v>
      </c>
      <c r="K9" s="26">
        <f t="shared" si="1"/>
        <v>-0.34104123208378467</v>
      </c>
      <c r="M9" s="23">
        <f t="shared" si="0"/>
        <v>5.0149853774159441</v>
      </c>
      <c r="N9" s="23">
        <f t="shared" si="0"/>
        <v>-2.1556826370471245</v>
      </c>
    </row>
    <row r="10" spans="2:14" x14ac:dyDescent="0.25">
      <c r="B10" s="24">
        <v>1991</v>
      </c>
      <c r="C10" s="25">
        <v>185.9356812</v>
      </c>
      <c r="D10" s="26">
        <v>8.7330154369999996E-2</v>
      </c>
      <c r="E10" s="26">
        <v>-0.75384746729999996</v>
      </c>
      <c r="F10" s="25">
        <v>54.508063030000002</v>
      </c>
      <c r="G10" s="26">
        <v>3.943740842E-2</v>
      </c>
      <c r="H10" s="26">
        <v>0.40236914140000002</v>
      </c>
      <c r="I10" s="26">
        <f t="shared" si="1"/>
        <v>0.29315547547524728</v>
      </c>
      <c r="J10" s="26">
        <f t="shared" si="1"/>
        <v>0.45158981687942251</v>
      </c>
      <c r="K10" s="26">
        <f t="shared" si="1"/>
        <v>-0.5337540535105012</v>
      </c>
      <c r="M10" s="23">
        <f t="shared" si="0"/>
        <v>5.2254008139105945</v>
      </c>
      <c r="N10" s="23">
        <f t="shared" si="0"/>
        <v>-2.4380594648951699</v>
      </c>
    </row>
    <row r="11" spans="2:14" x14ac:dyDescent="0.25">
      <c r="B11" s="24">
        <v>1992</v>
      </c>
      <c r="C11" s="25">
        <v>154.1185199</v>
      </c>
      <c r="D11" s="26">
        <v>0.1008964953</v>
      </c>
      <c r="E11" s="26">
        <v>-1.082951607</v>
      </c>
      <c r="F11" s="25">
        <v>22.330918879999999</v>
      </c>
      <c r="G11" s="26">
        <v>2.5552441249999999E-2</v>
      </c>
      <c r="H11" s="26">
        <v>0.31795056230000002</v>
      </c>
      <c r="I11" s="26">
        <f t="shared" si="1"/>
        <v>0.14489445456970029</v>
      </c>
      <c r="J11" s="26">
        <f t="shared" si="1"/>
        <v>0.25325400227256456</v>
      </c>
      <c r="K11" s="26">
        <f t="shared" si="1"/>
        <v>-0.2935962791364139</v>
      </c>
      <c r="M11" s="23">
        <f t="shared" si="0"/>
        <v>5.0377219161561717</v>
      </c>
      <c r="N11" s="23">
        <f t="shared" si="0"/>
        <v>-2.2936600866163124</v>
      </c>
    </row>
    <row r="12" spans="2:14" x14ac:dyDescent="0.25">
      <c r="B12" s="24">
        <v>1993</v>
      </c>
      <c r="C12" s="25">
        <v>176.8001123</v>
      </c>
      <c r="D12" s="26">
        <v>7.6124456440000002E-2</v>
      </c>
      <c r="E12" s="26">
        <v>-1.5036117490000001</v>
      </c>
      <c r="F12" s="25">
        <v>50.465116539999997</v>
      </c>
      <c r="G12" s="26">
        <v>3.5370169909999999E-2</v>
      </c>
      <c r="H12" s="26">
        <v>0.60334353439999999</v>
      </c>
      <c r="I12" s="26">
        <f t="shared" si="1"/>
        <v>0.28543599822136539</v>
      </c>
      <c r="J12" s="26">
        <f t="shared" si="1"/>
        <v>0.46463609152832719</v>
      </c>
      <c r="K12" s="26">
        <f t="shared" si="1"/>
        <v>-0.4012628491372609</v>
      </c>
      <c r="M12" s="23">
        <f t="shared" si="0"/>
        <v>5.1750197853843369</v>
      </c>
      <c r="N12" s="23">
        <f t="shared" si="0"/>
        <v>-2.5753856933388164</v>
      </c>
    </row>
    <row r="13" spans="2:14" x14ac:dyDescent="0.25">
      <c r="B13" s="24">
        <v>1994</v>
      </c>
      <c r="C13" s="25">
        <v>219.77570750000001</v>
      </c>
      <c r="D13" s="26">
        <v>5.8086384339999998E-2</v>
      </c>
      <c r="E13" s="26">
        <v>-1.66767084</v>
      </c>
      <c r="F13" s="25">
        <v>90.134301480000005</v>
      </c>
      <c r="G13" s="26">
        <v>3.4659183730000001E-2</v>
      </c>
      <c r="H13" s="26">
        <v>0.61437932760000002</v>
      </c>
      <c r="I13" s="26">
        <f t="shared" si="1"/>
        <v>0.41011949184602214</v>
      </c>
      <c r="J13" s="26">
        <f t="shared" si="1"/>
        <v>0.59668344180501287</v>
      </c>
      <c r="K13" s="26">
        <f t="shared" si="1"/>
        <v>-0.36840563069388443</v>
      </c>
      <c r="M13" s="23">
        <f t="shared" si="0"/>
        <v>5.3926075149335171</v>
      </c>
      <c r="N13" s="23">
        <f t="shared" si="0"/>
        <v>-2.8458239912973435</v>
      </c>
    </row>
    <row r="14" spans="2:14" x14ac:dyDescent="0.25">
      <c r="B14" s="24">
        <v>1995</v>
      </c>
      <c r="C14" s="25">
        <v>124.0363069</v>
      </c>
      <c r="D14" s="26">
        <v>0.14385590009999999</v>
      </c>
      <c r="E14" s="26">
        <v>-0.73428280489999997</v>
      </c>
      <c r="F14" s="25">
        <v>13.110630390000001</v>
      </c>
      <c r="G14" s="26">
        <v>3.1880170909999998E-2</v>
      </c>
      <c r="H14" s="26">
        <v>0.31551668830000001</v>
      </c>
      <c r="I14" s="26">
        <f t="shared" si="1"/>
        <v>0.10569994155477391</v>
      </c>
      <c r="J14" s="26">
        <f t="shared" si="1"/>
        <v>0.22161184134845227</v>
      </c>
      <c r="K14" s="26">
        <f t="shared" si="1"/>
        <v>-0.42969369048887013</v>
      </c>
      <c r="M14" s="23">
        <f t="shared" si="0"/>
        <v>4.820574320328836</v>
      </c>
      <c r="N14" s="23">
        <f t="shared" si="0"/>
        <v>-1.9389431741844056</v>
      </c>
    </row>
    <row r="15" spans="2:14" x14ac:dyDescent="0.25">
      <c r="B15" s="24">
        <v>1996</v>
      </c>
      <c r="C15" s="25">
        <v>99.961094610000004</v>
      </c>
      <c r="D15" s="26">
        <v>0.23510224599999999</v>
      </c>
      <c r="E15" s="26">
        <v>-7.7382203529999999E-2</v>
      </c>
      <c r="F15" s="25">
        <v>4.5473063849999997</v>
      </c>
      <c r="G15" s="26">
        <v>2.9104358229999999E-2</v>
      </c>
      <c r="H15" s="26">
        <v>0.178887775</v>
      </c>
      <c r="I15" s="26">
        <f t="shared" si="1"/>
        <v>4.5490762208451163E-2</v>
      </c>
      <c r="J15" s="26">
        <f t="shared" si="1"/>
        <v>0.12379447123614463</v>
      </c>
      <c r="K15" s="27">
        <f t="shared" si="1"/>
        <v>-2.3117430990531007</v>
      </c>
      <c r="M15" s="23">
        <f t="shared" si="0"/>
        <v>4.6047810563869875</v>
      </c>
      <c r="N15" s="23">
        <f t="shared" si="0"/>
        <v>-1.4477347701002068</v>
      </c>
    </row>
    <row r="16" spans="2:14" x14ac:dyDescent="0.25">
      <c r="B16" s="24">
        <v>1997</v>
      </c>
      <c r="C16" s="25">
        <v>95.211914039999996</v>
      </c>
      <c r="D16" s="26">
        <v>0.21473400030000001</v>
      </c>
      <c r="E16" s="26">
        <v>-0.82411459470000004</v>
      </c>
      <c r="F16" s="25">
        <v>10.574582960000001</v>
      </c>
      <c r="G16" s="26">
        <v>6.9455121839999995E-2</v>
      </c>
      <c r="H16" s="26">
        <v>0.59397944300000005</v>
      </c>
      <c r="I16" s="26">
        <f t="shared" si="1"/>
        <v>0.11106365276468926</v>
      </c>
      <c r="J16" s="26">
        <f t="shared" si="1"/>
        <v>0.32344724982054923</v>
      </c>
      <c r="K16" s="26">
        <f t="shared" si="1"/>
        <v>-0.72074860319179834</v>
      </c>
      <c r="M16" s="23">
        <f t="shared" si="0"/>
        <v>4.5561050814460184</v>
      </c>
      <c r="N16" s="23">
        <f t="shared" si="0"/>
        <v>-1.5383552247349976</v>
      </c>
    </row>
    <row r="17" spans="2:14" x14ac:dyDescent="0.25">
      <c r="B17" s="24">
        <v>1998</v>
      </c>
      <c r="C17" s="25">
        <v>96.516723450000001</v>
      </c>
      <c r="D17" s="26">
        <v>0.21003973040000001</v>
      </c>
      <c r="E17" s="26">
        <v>-0.65219684030000002</v>
      </c>
      <c r="F17" s="25">
        <v>5.6710089620000002</v>
      </c>
      <c r="G17" s="26">
        <v>3.6872183920000003E-2</v>
      </c>
      <c r="H17" s="26">
        <v>0.35319680959999999</v>
      </c>
      <c r="I17" s="26">
        <f t="shared" si="1"/>
        <v>5.8756749703980968E-2</v>
      </c>
      <c r="J17" s="26">
        <f t="shared" si="1"/>
        <v>0.17554861572989336</v>
      </c>
      <c r="K17" s="26">
        <f t="shared" si="1"/>
        <v>-0.54154940314880273</v>
      </c>
      <c r="M17" s="23">
        <f t="shared" si="0"/>
        <v>4.56971629333023</v>
      </c>
      <c r="N17" s="23">
        <f t="shared" si="0"/>
        <v>-1.5604585737783374</v>
      </c>
    </row>
    <row r="18" spans="2:14" x14ac:dyDescent="0.25">
      <c r="B18" s="24">
        <v>1999</v>
      </c>
      <c r="C18" s="25">
        <v>144.23708189999999</v>
      </c>
      <c r="D18" s="26">
        <v>0.1045392211</v>
      </c>
      <c r="E18" s="26">
        <v>-0.88904816050000002</v>
      </c>
      <c r="F18" s="25">
        <v>33.36277655</v>
      </c>
      <c r="G18" s="26">
        <v>4.4340444059999998E-2</v>
      </c>
      <c r="H18" s="26">
        <v>0.59847149749999995</v>
      </c>
      <c r="I18" s="26">
        <f t="shared" si="1"/>
        <v>0.23130512702087605</v>
      </c>
      <c r="J18" s="26">
        <f t="shared" si="1"/>
        <v>0.42415127636721983</v>
      </c>
      <c r="K18" s="26">
        <f t="shared" si="1"/>
        <v>-0.67315981753274201</v>
      </c>
      <c r="M18" s="23">
        <f t="shared" si="0"/>
        <v>4.9714583478251901</v>
      </c>
      <c r="N18" s="23">
        <f t="shared" si="0"/>
        <v>-2.2581929564616785</v>
      </c>
    </row>
    <row r="19" spans="2:14" x14ac:dyDescent="0.25">
      <c r="B19" s="24">
        <v>2000</v>
      </c>
      <c r="C19" s="25">
        <v>107.26037410000001</v>
      </c>
      <c r="D19" s="26">
        <v>0.20147896309999999</v>
      </c>
      <c r="E19" s="26">
        <v>3.6784699140000002E-2</v>
      </c>
      <c r="F19" s="25">
        <v>10.68880963</v>
      </c>
      <c r="G19" s="26">
        <v>4.9140550839999998E-2</v>
      </c>
      <c r="H19" s="26">
        <v>0.35695723909999999</v>
      </c>
      <c r="I19" s="26">
        <f t="shared" si="1"/>
        <v>9.9652921404457404E-2</v>
      </c>
      <c r="J19" s="26">
        <f t="shared" si="1"/>
        <v>0.24389916487514424</v>
      </c>
      <c r="K19" s="27">
        <f t="shared" si="1"/>
        <v>9.7039597290559758</v>
      </c>
      <c r="M19" s="23">
        <f t="shared" si="0"/>
        <v>4.675259281335383</v>
      </c>
      <c r="N19" s="23">
        <f t="shared" si="0"/>
        <v>-1.602070304534448</v>
      </c>
    </row>
    <row r="20" spans="2:14" x14ac:dyDescent="0.25">
      <c r="B20" s="24">
        <v>2001</v>
      </c>
      <c r="C20" s="25">
        <v>149.90960569999999</v>
      </c>
      <c r="D20" s="26">
        <v>9.3586695940000006E-2</v>
      </c>
      <c r="E20" s="26">
        <v>-1.2965590600000001</v>
      </c>
      <c r="F20" s="25">
        <v>57.082673970000002</v>
      </c>
      <c r="G20" s="26">
        <v>6.3739712670000004E-2</v>
      </c>
      <c r="H20" s="26">
        <v>1.011581963</v>
      </c>
      <c r="I20" s="26">
        <f t="shared" si="1"/>
        <v>0.38078062912282085</v>
      </c>
      <c r="J20" s="26">
        <f t="shared" si="1"/>
        <v>0.68107664267648249</v>
      </c>
      <c r="K20" s="26">
        <f t="shared" si="1"/>
        <v>-0.78020507835562847</v>
      </c>
      <c r="M20" s="23">
        <f t="shared" si="0"/>
        <v>5.0100324837759507</v>
      </c>
      <c r="N20" s="23">
        <f t="shared" si="0"/>
        <v>-2.3688670429942298</v>
      </c>
    </row>
    <row r="21" spans="2:14" x14ac:dyDescent="0.25">
      <c r="B21" s="24">
        <v>2002</v>
      </c>
      <c r="C21" s="25">
        <v>341.51996880000002</v>
      </c>
      <c r="D21" s="26">
        <v>3.4227586089999998E-2</v>
      </c>
      <c r="E21" s="26">
        <v>-1.1356104499999999</v>
      </c>
      <c r="F21" s="25">
        <v>374.25882780000001</v>
      </c>
      <c r="G21" s="26">
        <v>7.5211146460000003E-2</v>
      </c>
      <c r="H21" s="26">
        <v>1.06790914</v>
      </c>
      <c r="I21" s="27">
        <f t="shared" si="1"/>
        <v>1.095862210092823</v>
      </c>
      <c r="J21" s="27">
        <f t="shared" si="1"/>
        <v>2.1973838956166953</v>
      </c>
      <c r="K21" s="26">
        <f t="shared" si="1"/>
        <v>-0.94038333303466881</v>
      </c>
      <c r="M21" s="23">
        <f t="shared" si="0"/>
        <v>5.8334061510934125</v>
      </c>
      <c r="N21" s="23">
        <f t="shared" si="0"/>
        <v>-3.374723349230544</v>
      </c>
    </row>
    <row r="22" spans="2:14" x14ac:dyDescent="0.25">
      <c r="B22" s="24">
        <v>2003</v>
      </c>
      <c r="C22" s="25">
        <v>91.955883009999994</v>
      </c>
      <c r="D22" s="26">
        <v>0.26998583009999999</v>
      </c>
      <c r="E22" s="26">
        <v>0.25071577820000002</v>
      </c>
      <c r="F22" s="25">
        <v>3.3052284119999999</v>
      </c>
      <c r="G22" s="26">
        <v>2.7228669649999999E-2</v>
      </c>
      <c r="H22" s="26">
        <v>0.13335825300000001</v>
      </c>
      <c r="I22" s="26">
        <f t="shared" si="1"/>
        <v>3.5943631922283469E-2</v>
      </c>
      <c r="J22" s="26">
        <f t="shared" si="1"/>
        <v>0.10085221746606027</v>
      </c>
      <c r="K22" s="26">
        <f t="shared" si="1"/>
        <v>0.53191009340312834</v>
      </c>
      <c r="M22" s="23">
        <f t="shared" si="0"/>
        <v>4.5213089295365609</v>
      </c>
      <c r="N22" s="23">
        <f t="shared" si="0"/>
        <v>-1.309385802472055</v>
      </c>
    </row>
    <row r="23" spans="2:14" x14ac:dyDescent="0.25">
      <c r="B23" s="24">
        <v>2004</v>
      </c>
      <c r="C23" s="25">
        <v>87.782868910000005</v>
      </c>
      <c r="D23" s="26">
        <v>0.35933784870000002</v>
      </c>
      <c r="E23" s="26">
        <v>0.87427653829999996</v>
      </c>
      <c r="F23" s="25">
        <v>4.6008074810000004</v>
      </c>
      <c r="G23" s="26">
        <v>6.2662385779999996E-2</v>
      </c>
      <c r="H23" s="26">
        <v>0.22891092599999999</v>
      </c>
      <c r="I23" s="26">
        <f t="shared" si="1"/>
        <v>5.2411222578257387E-2</v>
      </c>
      <c r="J23" s="26">
        <f t="shared" si="1"/>
        <v>0.17438292683806561</v>
      </c>
      <c r="K23" s="26">
        <f t="shared" si="1"/>
        <v>0.26182897055102183</v>
      </c>
      <c r="M23" s="23">
        <f t="shared" si="0"/>
        <v>4.474866366683405</v>
      </c>
      <c r="N23" s="23">
        <f t="shared" si="0"/>
        <v>-1.0234922503047821</v>
      </c>
    </row>
    <row r="24" spans="2:14" x14ac:dyDescent="0.25">
      <c r="B24" s="24">
        <v>2005</v>
      </c>
      <c r="C24" s="25">
        <v>84.325658720000007</v>
      </c>
      <c r="D24" s="26">
        <v>0.40577367990000002</v>
      </c>
      <c r="E24" s="26">
        <v>0.60178200459999998</v>
      </c>
      <c r="F24" s="25">
        <v>3.480978957</v>
      </c>
      <c r="G24" s="26">
        <v>6.109682248E-2</v>
      </c>
      <c r="H24" s="26">
        <v>0.19054077180000001</v>
      </c>
      <c r="I24" s="26">
        <f t="shared" si="1"/>
        <v>4.1280186954227679E-2</v>
      </c>
      <c r="J24" s="26">
        <f t="shared" si="1"/>
        <v>0.15056871725898258</v>
      </c>
      <c r="K24" s="26">
        <f t="shared" si="1"/>
        <v>0.31662756669942471</v>
      </c>
      <c r="M24" s="23">
        <f t="shared" si="0"/>
        <v>4.4346861925981989</v>
      </c>
      <c r="N24" s="23">
        <f t="shared" si="0"/>
        <v>-0.90195971347705373</v>
      </c>
    </row>
    <row r="25" spans="2:14" x14ac:dyDescent="0.25">
      <c r="B25" s="28">
        <v>2006</v>
      </c>
      <c r="C25" s="29">
        <v>101.2824439</v>
      </c>
      <c r="D25" s="30">
        <v>0.19523356689999999</v>
      </c>
      <c r="E25" s="30">
        <v>-0.61571460469999995</v>
      </c>
      <c r="F25" s="29">
        <v>15.22151045</v>
      </c>
      <c r="G25" s="30">
        <v>7.1367995170000004E-2</v>
      </c>
      <c r="H25" s="30">
        <v>0.55102272699999999</v>
      </c>
      <c r="I25" s="30">
        <f t="shared" si="1"/>
        <v>0.1502877484377132</v>
      </c>
      <c r="J25" s="30">
        <f t="shared" si="1"/>
        <v>0.36555186847841176</v>
      </c>
      <c r="K25" s="31">
        <f t="shared" si="1"/>
        <v>-0.89493203960701828</v>
      </c>
      <c r="M25" s="23">
        <f t="shared" si="0"/>
        <v>4.6179130882390202</v>
      </c>
      <c r="N25" s="23">
        <f t="shared" si="0"/>
        <v>-1.6335586582089734</v>
      </c>
    </row>
    <row r="26" spans="2:14" x14ac:dyDescent="0.25">
      <c r="B26" s="23" t="s">
        <v>153</v>
      </c>
      <c r="C26" s="33">
        <f>AVERAGE(C3:C25)</f>
        <v>135.96005517913042</v>
      </c>
      <c r="D26" s="34">
        <f>AVERAGE(D3:D25)</f>
        <v>0.1801067509426087</v>
      </c>
      <c r="E26" s="34">
        <f>AVERAGE(E3:E25)</f>
        <v>-0.50234480981782614</v>
      </c>
      <c r="F26" s="32"/>
      <c r="G26" s="32"/>
      <c r="H26" s="32"/>
      <c r="I26" s="32"/>
      <c r="J26" s="32"/>
      <c r="K26" s="32"/>
    </row>
    <row r="27" spans="2:14" x14ac:dyDescent="0.25">
      <c r="B27" s="23" t="s">
        <v>147</v>
      </c>
      <c r="C27" s="23">
        <f>STDEV(M3:M25)</f>
        <v>0.33481885095489233</v>
      </c>
      <c r="D27" s="23">
        <f>STDEV(N3:N25)</f>
        <v>0.6012326939660132</v>
      </c>
      <c r="L27" s="23" t="s">
        <v>147</v>
      </c>
      <c r="M27" s="23">
        <f>STDEV(M3:M25)</f>
        <v>0.33481885095489233</v>
      </c>
      <c r="N27" s="23">
        <f>STDEV(N3:N25)</f>
        <v>0.6012326939660132</v>
      </c>
    </row>
    <row r="29" spans="2:14" ht="25.4" customHeight="1" x14ac:dyDescent="0.25">
      <c r="B29" s="35" t="s">
        <v>154</v>
      </c>
      <c r="C29" s="23" t="s">
        <v>120</v>
      </c>
    </row>
    <row r="30" spans="2:14" x14ac:dyDescent="0.25">
      <c r="B30" s="23">
        <v>2.25</v>
      </c>
      <c r="C30" s="23">
        <f>C$26*(1-EXP(-D$26*(B30-E$26)))</f>
        <v>53.142070050213803</v>
      </c>
    </row>
    <row r="31" spans="2:14" x14ac:dyDescent="0.25">
      <c r="B31" s="23">
        <v>2.75</v>
      </c>
      <c r="C31" s="23">
        <f>C$26*(1-EXP(-D$26*(B31-E$26)))</f>
        <v>60.274155746852244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7"/>
  <sheetViews>
    <sheetView topLeftCell="T1" workbookViewId="0">
      <selection activeCell="AN7" sqref="AN7"/>
    </sheetView>
  </sheetViews>
  <sheetFormatPr defaultColWidth="9.1796875" defaultRowHeight="14.5" x14ac:dyDescent="0.35"/>
  <cols>
    <col min="1" max="1" width="11.54296875" style="4" bestFit="1" customWidth="1"/>
    <col min="2" max="16384" width="9.1796875" style="4"/>
  </cols>
  <sheetData>
    <row r="1" spans="1:78" x14ac:dyDescent="0.35">
      <c r="A1" s="4" t="s">
        <v>66</v>
      </c>
    </row>
    <row r="2" spans="1:78" x14ac:dyDescent="0.35">
      <c r="A2" s="4" t="s">
        <v>0</v>
      </c>
      <c r="B2" s="9" t="s">
        <v>155</v>
      </c>
    </row>
    <row r="3" spans="1:78" x14ac:dyDescent="0.35">
      <c r="A3" s="4" t="s">
        <v>24</v>
      </c>
      <c r="B3" s="4">
        <v>39</v>
      </c>
      <c r="D3" s="9" t="s">
        <v>158</v>
      </c>
    </row>
    <row r="4" spans="1:78" x14ac:dyDescent="0.35">
      <c r="A4" s="4" t="s">
        <v>25</v>
      </c>
      <c r="B4" s="4">
        <v>1</v>
      </c>
      <c r="C4" s="4">
        <v>1</v>
      </c>
      <c r="D4" s="9" t="s">
        <v>138</v>
      </c>
    </row>
    <row r="5" spans="1:78" x14ac:dyDescent="0.35">
      <c r="A5" s="4" t="s">
        <v>39</v>
      </c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>
        <v>14</v>
      </c>
      <c r="P5" s="5">
        <v>15</v>
      </c>
      <c r="Q5" s="5">
        <v>16</v>
      </c>
      <c r="R5" s="5">
        <v>17</v>
      </c>
      <c r="S5" s="5">
        <v>18</v>
      </c>
      <c r="T5" s="5">
        <v>19</v>
      </c>
      <c r="U5" s="5">
        <v>20</v>
      </c>
      <c r="V5" s="5">
        <v>21</v>
      </c>
      <c r="W5" s="5">
        <v>22</v>
      </c>
      <c r="X5" s="5">
        <v>23</v>
      </c>
      <c r="Y5" s="5">
        <v>24</v>
      </c>
      <c r="Z5" s="5">
        <v>25</v>
      </c>
      <c r="AA5" s="5">
        <v>26</v>
      </c>
      <c r="AB5" s="5">
        <v>27</v>
      </c>
      <c r="AC5" s="5">
        <v>28</v>
      </c>
      <c r="AD5" s="5">
        <v>29</v>
      </c>
      <c r="AE5" s="5">
        <v>30</v>
      </c>
      <c r="AF5" s="5">
        <v>31</v>
      </c>
      <c r="AG5" s="5">
        <v>32</v>
      </c>
      <c r="AH5" s="5">
        <v>33</v>
      </c>
      <c r="AI5" s="5">
        <v>34</v>
      </c>
      <c r="AJ5" s="5">
        <v>35</v>
      </c>
      <c r="AK5" s="5">
        <v>36</v>
      </c>
      <c r="AL5" s="5">
        <v>37</v>
      </c>
      <c r="AM5" s="5">
        <v>38</v>
      </c>
      <c r="AN5" s="5">
        <v>39</v>
      </c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35">
      <c r="A6" s="4" t="s">
        <v>40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  <c r="Z6" s="6">
        <v>1</v>
      </c>
      <c r="AA6" s="6">
        <v>1</v>
      </c>
      <c r="AB6" s="6">
        <v>1</v>
      </c>
      <c r="AC6" s="6">
        <v>1</v>
      </c>
      <c r="AD6" s="6">
        <v>1</v>
      </c>
      <c r="AE6" s="6">
        <v>1</v>
      </c>
      <c r="AF6" s="6">
        <v>1</v>
      </c>
      <c r="AG6" s="6">
        <v>1</v>
      </c>
      <c r="AH6" s="6">
        <v>1</v>
      </c>
      <c r="AI6" s="6">
        <v>1</v>
      </c>
      <c r="AJ6" s="6">
        <v>1</v>
      </c>
      <c r="AK6" s="6">
        <v>1</v>
      </c>
      <c r="AL6" s="6">
        <v>1</v>
      </c>
      <c r="AM6" s="6">
        <v>1</v>
      </c>
      <c r="AN6" s="6">
        <v>1</v>
      </c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</row>
    <row r="7" spans="1:78" x14ac:dyDescent="0.35">
      <c r="A7" s="4" t="s">
        <v>41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  <c r="Z7" s="6">
        <v>1</v>
      </c>
      <c r="AA7" s="6">
        <v>1</v>
      </c>
      <c r="AB7" s="6">
        <v>1</v>
      </c>
      <c r="AC7" s="6">
        <v>1</v>
      </c>
      <c r="AD7" s="6">
        <v>1</v>
      </c>
      <c r="AE7" s="6">
        <v>1</v>
      </c>
      <c r="AF7" s="6">
        <v>1</v>
      </c>
      <c r="AG7" s="6">
        <v>1</v>
      </c>
      <c r="AH7" s="6">
        <v>1</v>
      </c>
      <c r="AI7" s="6">
        <v>1</v>
      </c>
      <c r="AJ7" s="6">
        <v>1</v>
      </c>
      <c r="AK7" s="6">
        <v>1</v>
      </c>
      <c r="AL7" s="6">
        <v>1</v>
      </c>
      <c r="AM7" s="6">
        <v>1</v>
      </c>
      <c r="AN7" s="6">
        <v>1</v>
      </c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</row>
    <row r="8" spans="1:78" x14ac:dyDescent="0.35">
      <c r="A8" s="4" t="s">
        <v>60</v>
      </c>
      <c r="B8" s="4">
        <v>0</v>
      </c>
      <c r="C8" s="4">
        <v>0</v>
      </c>
    </row>
    <row r="9" spans="1:78" x14ac:dyDescent="0.35">
      <c r="A9" s="4" t="s">
        <v>37</v>
      </c>
      <c r="B9" s="4">
        <v>-0.1</v>
      </c>
      <c r="C9" s="4">
        <v>0.1</v>
      </c>
      <c r="D9" s="9" t="s">
        <v>139</v>
      </c>
    </row>
    <row r="10" spans="1:78" x14ac:dyDescent="0.35">
      <c r="A10" s="4" t="s">
        <v>38</v>
      </c>
      <c r="B10" s="4">
        <v>0.1</v>
      </c>
      <c r="C10" s="4">
        <v>0.1</v>
      </c>
      <c r="D10" s="9" t="s">
        <v>140</v>
      </c>
    </row>
    <row r="11" spans="1:78" x14ac:dyDescent="0.35">
      <c r="A11" s="4" t="s">
        <v>35</v>
      </c>
      <c r="B11" s="9">
        <v>1</v>
      </c>
      <c r="C11" s="9">
        <v>1</v>
      </c>
      <c r="D11" s="9" t="s">
        <v>137</v>
      </c>
    </row>
    <row r="12" spans="1:78" x14ac:dyDescent="0.35">
      <c r="A12" s="4" t="s">
        <v>34</v>
      </c>
      <c r="B12" s="9">
        <v>1</v>
      </c>
      <c r="C12" s="9">
        <v>1</v>
      </c>
      <c r="D12" s="9" t="s">
        <v>137</v>
      </c>
    </row>
    <row r="13" spans="1:78" x14ac:dyDescent="0.35">
      <c r="A13" s="4" t="s">
        <v>36</v>
      </c>
      <c r="B13" s="9">
        <v>1</v>
      </c>
      <c r="C13" s="9">
        <v>1</v>
      </c>
      <c r="D13" s="9" t="s">
        <v>137</v>
      </c>
    </row>
    <row r="14" spans="1:78" x14ac:dyDescent="0.35">
      <c r="A14" s="4" t="s">
        <v>42</v>
      </c>
      <c r="B14" s="4" t="b">
        <v>0</v>
      </c>
    </row>
    <row r="15" spans="1:78" x14ac:dyDescent="0.35">
      <c r="A15" s="4" t="s">
        <v>61</v>
      </c>
    </row>
    <row r="16" spans="1:78" x14ac:dyDescent="0.35">
      <c r="A16" s="4" t="s">
        <v>62</v>
      </c>
    </row>
    <row r="17" spans="1:3" x14ac:dyDescent="0.35">
      <c r="A17" s="4" t="s">
        <v>63</v>
      </c>
    </row>
    <row r="18" spans="1:3" x14ac:dyDescent="0.35">
      <c r="A18" s="4" t="s">
        <v>64</v>
      </c>
      <c r="B18" s="4">
        <v>0</v>
      </c>
      <c r="C18" s="4">
        <v>0</v>
      </c>
    </row>
    <row r="19" spans="1:3" x14ac:dyDescent="0.35">
      <c r="A19" s="4" t="s">
        <v>26</v>
      </c>
    </row>
    <row r="20" spans="1:3" x14ac:dyDescent="0.35">
      <c r="A20" s="4" t="s">
        <v>27</v>
      </c>
    </row>
    <row r="21" spans="1:3" x14ac:dyDescent="0.35">
      <c r="A21" s="4" t="s">
        <v>30</v>
      </c>
    </row>
    <row r="22" spans="1:3" x14ac:dyDescent="0.35">
      <c r="A22" s="4" t="s">
        <v>31</v>
      </c>
    </row>
    <row r="23" spans="1:3" x14ac:dyDescent="0.35">
      <c r="A23" s="4" t="s">
        <v>28</v>
      </c>
    </row>
    <row r="24" spans="1:3" x14ac:dyDescent="0.35">
      <c r="A24" s="4" t="s">
        <v>29</v>
      </c>
    </row>
    <row r="25" spans="1:3" x14ac:dyDescent="0.35">
      <c r="A25" s="4" t="s">
        <v>32</v>
      </c>
    </row>
    <row r="26" spans="1:3" x14ac:dyDescent="0.35">
      <c r="A26" s="4" t="s">
        <v>33</v>
      </c>
    </row>
    <row r="27" spans="1:3" x14ac:dyDescent="0.35">
      <c r="A27" s="4" t="s">
        <v>65</v>
      </c>
      <c r="B27" s="4"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G17" sqref="G17"/>
    </sheetView>
  </sheetViews>
  <sheetFormatPr defaultColWidth="9.1796875" defaultRowHeight="14.5" x14ac:dyDescent="0.35"/>
  <cols>
    <col min="1" max="1" width="11.54296875" style="8" bestFit="1" customWidth="1"/>
    <col min="2" max="2" width="9.81640625" style="8" bestFit="1" customWidth="1"/>
    <col min="3" max="16384" width="9.1796875" style="8"/>
  </cols>
  <sheetData>
    <row r="1" spans="1:3" x14ac:dyDescent="0.35">
      <c r="A1" s="8" t="s">
        <v>66</v>
      </c>
    </row>
    <row r="2" spans="1:3" x14ac:dyDescent="0.35">
      <c r="A2" s="8" t="s">
        <v>0</v>
      </c>
      <c r="B2" s="9" t="s">
        <v>164</v>
      </c>
    </row>
    <row r="3" spans="1:3" x14ac:dyDescent="0.35">
      <c r="A3" t="s">
        <v>43</v>
      </c>
      <c r="B3">
        <v>0.05</v>
      </c>
      <c r="C3">
        <v>0.1</v>
      </c>
    </row>
    <row r="4" spans="1:3" x14ac:dyDescent="0.35">
      <c r="A4" t="s">
        <v>44</v>
      </c>
      <c r="B4">
        <v>2.5000000000000001E-2</v>
      </c>
      <c r="C4"/>
    </row>
    <row r="5" spans="1:3" x14ac:dyDescent="0.35">
      <c r="A5" t="s">
        <v>45</v>
      </c>
      <c r="B5">
        <v>100</v>
      </c>
      <c r="C5">
        <v>200</v>
      </c>
    </row>
    <row r="6" spans="1:3" x14ac:dyDescent="0.35">
      <c r="A6" t="s">
        <v>46</v>
      </c>
      <c r="B6">
        <v>25</v>
      </c>
      <c r="C6">
        <v>50</v>
      </c>
    </row>
    <row r="7" spans="1:3" x14ac:dyDescent="0.35">
      <c r="A7" t="s">
        <v>47</v>
      </c>
      <c r="B7">
        <v>100</v>
      </c>
      <c r="C7">
        <v>200</v>
      </c>
    </row>
    <row r="8" spans="1:3" x14ac:dyDescent="0.35">
      <c r="A8" t="s">
        <v>48</v>
      </c>
      <c r="B8">
        <v>25</v>
      </c>
      <c r="C8">
        <v>50</v>
      </c>
    </row>
    <row r="9" spans="1:3" x14ac:dyDescent="0.35">
      <c r="A9" t="s">
        <v>49</v>
      </c>
      <c r="B9">
        <v>0.1</v>
      </c>
      <c r="C9">
        <v>0.15</v>
      </c>
    </row>
    <row r="10" spans="1:3" x14ac:dyDescent="0.35">
      <c r="A10" t="s">
        <v>80</v>
      </c>
      <c r="B10">
        <v>0.2</v>
      </c>
      <c r="C10"/>
    </row>
    <row r="11" spans="1:3" x14ac:dyDescent="0.35">
      <c r="A11" t="s">
        <v>82</v>
      </c>
      <c r="B11">
        <v>0.2</v>
      </c>
      <c r="C11">
        <v>0.5</v>
      </c>
    </row>
    <row r="12" spans="1:3" x14ac:dyDescent="0.35">
      <c r="A12" t="s">
        <v>79</v>
      </c>
      <c r="B12">
        <v>0.5</v>
      </c>
      <c r="C12">
        <v>2</v>
      </c>
    </row>
    <row r="13" spans="1:3" x14ac:dyDescent="0.35">
      <c r="A13" t="s">
        <v>51</v>
      </c>
      <c r="B13">
        <v>0.66</v>
      </c>
      <c r="C13">
        <v>1.5</v>
      </c>
    </row>
    <row r="14" spans="1:3" x14ac:dyDescent="0.35">
      <c r="A14" t="s">
        <v>99</v>
      </c>
      <c r="B14">
        <v>0.1</v>
      </c>
      <c r="C14"/>
    </row>
    <row r="15" spans="1:3" x14ac:dyDescent="0.35">
      <c r="A15" t="s">
        <v>83</v>
      </c>
      <c r="B15">
        <v>0.2</v>
      </c>
      <c r="C15"/>
    </row>
    <row r="16" spans="1:3" x14ac:dyDescent="0.35">
      <c r="A16" t="s">
        <v>84</v>
      </c>
      <c r="B16">
        <v>0.05</v>
      </c>
      <c r="C16"/>
    </row>
    <row r="17" spans="1:3" x14ac:dyDescent="0.35">
      <c r="A17" t="s">
        <v>85</v>
      </c>
      <c r="B17">
        <v>0</v>
      </c>
      <c r="C17"/>
    </row>
    <row r="18" spans="1:3" x14ac:dyDescent="0.35">
      <c r="A18" t="s">
        <v>86</v>
      </c>
      <c r="B18">
        <v>2.5000000000000001E-2</v>
      </c>
      <c r="C18"/>
    </row>
    <row r="19" spans="1:3" x14ac:dyDescent="0.35">
      <c r="A19" t="s">
        <v>87</v>
      </c>
      <c r="B19">
        <v>0.05</v>
      </c>
      <c r="C19"/>
    </row>
    <row r="20" spans="1:3" x14ac:dyDescent="0.35">
      <c r="A20" t="s">
        <v>88</v>
      </c>
      <c r="B20">
        <v>0.05</v>
      </c>
      <c r="C20"/>
    </row>
    <row r="21" spans="1:3" x14ac:dyDescent="0.35">
      <c r="A21" t="s">
        <v>89</v>
      </c>
      <c r="B21">
        <v>0.4</v>
      </c>
      <c r="C21"/>
    </row>
    <row r="22" spans="1:3" x14ac:dyDescent="0.35">
      <c r="A22" t="s">
        <v>90</v>
      </c>
      <c r="B22">
        <v>0.15</v>
      </c>
      <c r="C22"/>
    </row>
    <row r="23" spans="1:3" x14ac:dyDescent="0.35">
      <c r="A23" t="s">
        <v>91</v>
      </c>
      <c r="B23">
        <v>0.2</v>
      </c>
      <c r="C23"/>
    </row>
    <row r="24" spans="1:3" x14ac:dyDescent="0.35">
      <c r="A24" t="s">
        <v>92</v>
      </c>
      <c r="B24">
        <v>0.5</v>
      </c>
      <c r="C24"/>
    </row>
    <row r="25" spans="1:3" x14ac:dyDescent="0.35">
      <c r="A25" t="s">
        <v>93</v>
      </c>
      <c r="B25">
        <v>0.5</v>
      </c>
      <c r="C25"/>
    </row>
    <row r="26" spans="1:3" x14ac:dyDescent="0.35">
      <c r="A26" t="s">
        <v>94</v>
      </c>
      <c r="B26">
        <v>0.5</v>
      </c>
      <c r="C26"/>
    </row>
    <row r="27" spans="1:3" x14ac:dyDescent="0.35">
      <c r="A27" t="s">
        <v>50</v>
      </c>
      <c r="B27">
        <v>0.5</v>
      </c>
      <c r="C27"/>
    </row>
    <row r="28" spans="1:3" x14ac:dyDescent="0.35">
      <c r="A28" t="s">
        <v>81</v>
      </c>
      <c r="B28">
        <v>0.05</v>
      </c>
      <c r="C28">
        <v>0.1</v>
      </c>
    </row>
    <row r="29" spans="1:3" ht="15" customHeight="1" x14ac:dyDescent="0.35">
      <c r="A29" t="s">
        <v>95</v>
      </c>
      <c r="B29">
        <v>0.1</v>
      </c>
      <c r="C29"/>
    </row>
    <row r="30" spans="1:3" x14ac:dyDescent="0.35">
      <c r="A30" t="s">
        <v>96</v>
      </c>
      <c r="B30">
        <v>0.05</v>
      </c>
      <c r="C30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G16" sqref="G16"/>
    </sheetView>
  </sheetViews>
  <sheetFormatPr defaultColWidth="9.1796875" defaultRowHeight="14.5" x14ac:dyDescent="0.35"/>
  <cols>
    <col min="1" max="1" width="11.453125" style="7" bestFit="1" customWidth="1"/>
    <col min="2" max="16384" width="9.1796875" style="7"/>
  </cols>
  <sheetData>
    <row r="1" spans="1:3" x14ac:dyDescent="0.35">
      <c r="A1" s="7" t="s">
        <v>66</v>
      </c>
    </row>
    <row r="2" spans="1:3" x14ac:dyDescent="0.35">
      <c r="A2" s="7" t="s">
        <v>0</v>
      </c>
      <c r="B2" s="9" t="s">
        <v>165</v>
      </c>
    </row>
    <row r="3" spans="1:3" x14ac:dyDescent="0.35">
      <c r="A3" s="7" t="s">
        <v>52</v>
      </c>
      <c r="B3" s="7">
        <v>2.5000000000000001E-2</v>
      </c>
      <c r="C3" s="7">
        <v>0.05</v>
      </c>
    </row>
    <row r="4" spans="1:3" x14ac:dyDescent="0.35">
      <c r="A4" s="7" t="s">
        <v>53</v>
      </c>
      <c r="B4" s="7">
        <v>1</v>
      </c>
      <c r="C4" s="7">
        <v>1.05</v>
      </c>
    </row>
    <row r="5" spans="1:3" x14ac:dyDescent="0.35">
      <c r="A5" s="7" t="s">
        <v>97</v>
      </c>
      <c r="B5" s="7">
        <v>2.5000000000000001E-2</v>
      </c>
      <c r="C5" s="7">
        <v>0.05</v>
      </c>
    </row>
    <row r="6" spans="1:3" x14ac:dyDescent="0.35">
      <c r="A6" s="7" t="s">
        <v>98</v>
      </c>
      <c r="B6" s="7">
        <v>1</v>
      </c>
      <c r="C6" s="7">
        <v>1.05</v>
      </c>
    </row>
    <row r="7" spans="1:3" x14ac:dyDescent="0.35">
      <c r="A7" s="7" t="s">
        <v>54</v>
      </c>
      <c r="B7" s="7">
        <v>2.5000000000000001E-2</v>
      </c>
      <c r="C7" s="7">
        <v>0.05</v>
      </c>
    </row>
    <row r="8" spans="1:3" x14ac:dyDescent="0.35">
      <c r="A8" s="7" t="s">
        <v>55</v>
      </c>
      <c r="B8" s="7">
        <v>1</v>
      </c>
      <c r="C8" s="7">
        <v>1.05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H6" sqref="H6"/>
    </sheetView>
  </sheetViews>
  <sheetFormatPr defaultRowHeight="14.5" x14ac:dyDescent="0.35"/>
  <cols>
    <col min="1" max="1" width="9.453125" customWidth="1"/>
    <col min="2" max="2" width="10.81640625" bestFit="1" customWidth="1"/>
  </cols>
  <sheetData>
    <row r="1" spans="1:3" x14ac:dyDescent="0.35">
      <c r="A1" t="s">
        <v>66</v>
      </c>
    </row>
    <row r="2" spans="1:3" x14ac:dyDescent="0.35">
      <c r="A2" t="s">
        <v>0</v>
      </c>
      <c r="B2" t="s">
        <v>142</v>
      </c>
    </row>
    <row r="3" spans="1:3" s="11" customFormat="1" x14ac:dyDescent="0.35">
      <c r="A3" s="11" t="s">
        <v>133</v>
      </c>
      <c r="B3" s="11" t="s">
        <v>166</v>
      </c>
    </row>
    <row r="4" spans="1:3" s="11" customFormat="1" x14ac:dyDescent="0.35">
      <c r="A4" s="11" t="s">
        <v>134</v>
      </c>
      <c r="B4" s="11" t="s">
        <v>163</v>
      </c>
    </row>
    <row r="5" spans="1:3" s="11" customFormat="1" x14ac:dyDescent="0.35">
      <c r="A5" s="11" t="s">
        <v>135</v>
      </c>
      <c r="B5" s="11">
        <v>41.5</v>
      </c>
    </row>
    <row r="6" spans="1:3" s="11" customFormat="1" x14ac:dyDescent="0.35">
      <c r="A6" s="11" t="s">
        <v>136</v>
      </c>
      <c r="B6" s="11">
        <v>-66.5</v>
      </c>
    </row>
    <row r="7" spans="1:3" x14ac:dyDescent="0.35">
      <c r="A7" t="s">
        <v>67</v>
      </c>
      <c r="B7">
        <v>80</v>
      </c>
    </row>
    <row r="8" spans="1:3" x14ac:dyDescent="0.35">
      <c r="A8" t="s">
        <v>68</v>
      </c>
      <c r="B8">
        <v>50</v>
      </c>
    </row>
    <row r="9" spans="1:3" x14ac:dyDescent="0.35">
      <c r="A9" t="s">
        <v>69</v>
      </c>
      <c r="B9">
        <v>4</v>
      </c>
    </row>
    <row r="10" spans="1:3" x14ac:dyDescent="0.35">
      <c r="A10" t="s">
        <v>70</v>
      </c>
      <c r="B10">
        <v>0.5</v>
      </c>
      <c r="C10" t="s">
        <v>73</v>
      </c>
    </row>
    <row r="11" spans="1:3" x14ac:dyDescent="0.35">
      <c r="A11" t="s">
        <v>71</v>
      </c>
      <c r="B11">
        <v>2</v>
      </c>
      <c r="C11" t="s">
        <v>73</v>
      </c>
    </row>
    <row r="12" spans="1:3" x14ac:dyDescent="0.35">
      <c r="A12" t="s">
        <v>72</v>
      </c>
      <c r="B12">
        <v>1</v>
      </c>
      <c r="C12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zoomScaleNormal="100" workbookViewId="0">
      <selection activeCell="I4" sqref="I4"/>
    </sheetView>
  </sheetViews>
  <sheetFormatPr defaultColWidth="8.81640625" defaultRowHeight="14.5" x14ac:dyDescent="0.35"/>
  <cols>
    <col min="1" max="1" width="8.81640625" style="17"/>
    <col min="2" max="2" width="10.54296875" style="10" customWidth="1"/>
    <col min="3" max="16384" width="8.81640625" style="10"/>
  </cols>
  <sheetData>
    <row r="1" spans="1:11" x14ac:dyDescent="0.35">
      <c r="C1" s="10" t="s">
        <v>105</v>
      </c>
      <c r="D1" s="10" t="s">
        <v>2</v>
      </c>
      <c r="E1" s="10" t="s">
        <v>6</v>
      </c>
    </row>
    <row r="2" spans="1:11" x14ac:dyDescent="0.35">
      <c r="B2" s="10" t="s">
        <v>106</v>
      </c>
      <c r="C2" s="10">
        <f>MIN(C7:C44)</f>
        <v>5028</v>
      </c>
      <c r="D2" s="10">
        <f>MIN(D7:D44)</f>
        <v>297</v>
      </c>
      <c r="E2" s="10">
        <v>0.21099999999999999</v>
      </c>
      <c r="G2" s="10" t="s">
        <v>107</v>
      </c>
      <c r="H2" s="10">
        <f>STDEV(G7:G33)</f>
        <v>0.59667414319321554</v>
      </c>
    </row>
    <row r="3" spans="1:11" x14ac:dyDescent="0.35">
      <c r="B3" s="10" t="s">
        <v>108</v>
      </c>
      <c r="C3" s="10">
        <f>MAX(C7:C44)*2</f>
        <v>119382</v>
      </c>
      <c r="D3" s="10">
        <f>MAX(D7:D44)</f>
        <v>24077</v>
      </c>
      <c r="E3" s="10">
        <v>0.99</v>
      </c>
      <c r="G3" s="10" t="s">
        <v>116</v>
      </c>
      <c r="H3" s="10">
        <v>-0.112829</v>
      </c>
    </row>
    <row r="4" spans="1:11" x14ac:dyDescent="0.35">
      <c r="B4" s="10" t="s">
        <v>109</v>
      </c>
      <c r="C4" s="10">
        <v>39175.672463079623</v>
      </c>
      <c r="D4" s="10">
        <v>6660.6268768568943</v>
      </c>
      <c r="E4" s="10">
        <v>0.21099999999999999</v>
      </c>
    </row>
    <row r="5" spans="1:11" x14ac:dyDescent="0.35">
      <c r="D5" s="10" t="s">
        <v>110</v>
      </c>
      <c r="E5" s="10">
        <f>SUM(G7:G44)</f>
        <v>21.058182235963883</v>
      </c>
    </row>
    <row r="6" spans="1:11" x14ac:dyDescent="0.35">
      <c r="A6" s="17" t="s">
        <v>156</v>
      </c>
      <c r="B6" s="10" t="s">
        <v>157</v>
      </c>
      <c r="C6" s="19" t="s">
        <v>111</v>
      </c>
      <c r="D6" s="17" t="s">
        <v>143</v>
      </c>
      <c r="E6" s="10" t="s">
        <v>112</v>
      </c>
      <c r="F6" s="10" t="s">
        <v>113</v>
      </c>
      <c r="G6" s="10" t="s">
        <v>114</v>
      </c>
      <c r="H6" s="10" t="s">
        <v>115</v>
      </c>
    </row>
    <row r="7" spans="1:11" x14ac:dyDescent="0.35">
      <c r="A7" s="17">
        <v>1</v>
      </c>
      <c r="B7" s="17">
        <v>1979</v>
      </c>
      <c r="C7" s="18">
        <v>52120</v>
      </c>
      <c r="D7" s="17">
        <v>10450</v>
      </c>
      <c r="E7" s="10">
        <f>C7/$C$4</f>
        <v>1.3304174944059866</v>
      </c>
      <c r="F7" s="10">
        <f>$D$4*(4*hs*E7)/((1-hs)+(5*hs-1)*E7)</f>
        <v>8674.6327980840579</v>
      </c>
      <c r="G7" s="10">
        <f>LN(F7/D7)^2</f>
        <v>3.4670060981589063E-2</v>
      </c>
      <c r="H7" s="10">
        <f>LN(D7/F7)</f>
        <v>0.1861989822249013</v>
      </c>
      <c r="K7" s="10" t="s">
        <v>117</v>
      </c>
    </row>
    <row r="8" spans="1:11" x14ac:dyDescent="0.35">
      <c r="A8" s="17">
        <v>2</v>
      </c>
      <c r="B8" s="17">
        <v>1980</v>
      </c>
      <c r="C8" s="18">
        <v>46354</v>
      </c>
      <c r="D8" s="17">
        <v>10052</v>
      </c>
      <c r="E8" s="10">
        <f t="shared" ref="E8:E44" si="0">C8/$C$4</f>
        <v>1.1832343157270742</v>
      </c>
      <c r="F8" s="10">
        <f t="shared" ref="F8:F44" si="1">$D$4*(4*hs*E8)/((1-hs)+(5*hs-1)*E8)</f>
        <v>7788.0876520763777</v>
      </c>
      <c r="G8" s="10">
        <f t="shared" ref="G8:G44" si="2">LN(F8/D8)^2</f>
        <v>6.5114932585498525E-2</v>
      </c>
      <c r="H8" s="10">
        <f t="shared" ref="H8:H44" si="3">LN(D8/F8)</f>
        <v>0.25517627747402083</v>
      </c>
    </row>
    <row r="9" spans="1:11" x14ac:dyDescent="0.35">
      <c r="A9" s="17">
        <v>3</v>
      </c>
      <c r="B9" s="17">
        <v>1981</v>
      </c>
      <c r="C9" s="18">
        <v>53981</v>
      </c>
      <c r="D9" s="17">
        <v>17481</v>
      </c>
      <c r="E9" s="10">
        <f t="shared" si="0"/>
        <v>1.3779214651866762</v>
      </c>
      <c r="F9" s="10">
        <f t="shared" si="1"/>
        <v>8957.2259148921767</v>
      </c>
      <c r="G9" s="10">
        <f t="shared" si="2"/>
        <v>0.44709817906249821</v>
      </c>
      <c r="H9" s="10">
        <f t="shared" si="3"/>
        <v>0.66865400549349741</v>
      </c>
    </row>
    <row r="10" spans="1:11" x14ac:dyDescent="0.35">
      <c r="A10" s="17">
        <v>4</v>
      </c>
      <c r="B10" s="17">
        <v>1982</v>
      </c>
      <c r="C10" s="18">
        <v>59691</v>
      </c>
      <c r="D10" s="17">
        <v>5693</v>
      </c>
      <c r="E10" s="10">
        <f t="shared" si="0"/>
        <v>1.5236751853144235</v>
      </c>
      <c r="F10" s="10">
        <f t="shared" si="1"/>
        <v>9813.7309368942351</v>
      </c>
      <c r="G10" s="10">
        <f t="shared" si="2"/>
        <v>0.29652944333571479</v>
      </c>
      <c r="H10" s="10">
        <f t="shared" si="3"/>
        <v>-0.5445451710700544</v>
      </c>
    </row>
    <row r="11" spans="1:11" x14ac:dyDescent="0.35">
      <c r="A11" s="17">
        <v>5</v>
      </c>
      <c r="B11" s="17">
        <v>1983</v>
      </c>
      <c r="C11" s="18">
        <v>56058</v>
      </c>
      <c r="D11" s="17">
        <v>5107</v>
      </c>
      <c r="E11" s="10">
        <f t="shared" si="0"/>
        <v>1.4309390618075748</v>
      </c>
      <c r="F11" s="10">
        <f t="shared" si="1"/>
        <v>9270.609092284194</v>
      </c>
      <c r="G11" s="10">
        <f t="shared" si="2"/>
        <v>0.35549848325652283</v>
      </c>
      <c r="H11" s="10">
        <f t="shared" si="3"/>
        <v>-0.59623693550175405</v>
      </c>
    </row>
    <row r="12" spans="1:11" x14ac:dyDescent="0.35">
      <c r="A12" s="17">
        <v>6</v>
      </c>
      <c r="B12" s="17">
        <v>1984</v>
      </c>
      <c r="C12" s="18">
        <v>48003</v>
      </c>
      <c r="D12" s="17">
        <v>14264</v>
      </c>
      <c r="E12" s="10">
        <f t="shared" si="0"/>
        <v>1.2253267648497808</v>
      </c>
      <c r="F12" s="10">
        <f t="shared" si="1"/>
        <v>8043.3390789466148</v>
      </c>
      <c r="G12" s="10">
        <f t="shared" si="2"/>
        <v>0.32820819436222576</v>
      </c>
      <c r="H12" s="10">
        <f t="shared" si="3"/>
        <v>0.57289457525990384</v>
      </c>
    </row>
    <row r="13" spans="1:11" x14ac:dyDescent="0.35">
      <c r="A13" s="17">
        <v>7</v>
      </c>
      <c r="B13" s="17">
        <v>1985</v>
      </c>
      <c r="C13" s="18">
        <v>35542</v>
      </c>
      <c r="D13" s="17">
        <v>5273</v>
      </c>
      <c r="E13" s="10">
        <f t="shared" si="0"/>
        <v>0.90724671116994582</v>
      </c>
      <c r="F13" s="10">
        <f t="shared" si="1"/>
        <v>6079.5789275442748</v>
      </c>
      <c r="G13" s="10">
        <f t="shared" si="2"/>
        <v>2.0259530545927128E-2</v>
      </c>
      <c r="H13" s="10">
        <f t="shared" si="3"/>
        <v>-0.14233597769336853</v>
      </c>
    </row>
    <row r="14" spans="1:11" x14ac:dyDescent="0.35">
      <c r="A14" s="17">
        <v>8</v>
      </c>
      <c r="B14" s="17">
        <v>1986</v>
      </c>
      <c r="C14" s="18">
        <v>35687</v>
      </c>
      <c r="D14" s="17">
        <v>24077</v>
      </c>
      <c r="E14" s="10">
        <f t="shared" si="0"/>
        <v>0.91094798777564168</v>
      </c>
      <c r="F14" s="10">
        <f t="shared" si="1"/>
        <v>6102.9007140608792</v>
      </c>
      <c r="G14" s="10">
        <f t="shared" si="2"/>
        <v>1.8837366038509333</v>
      </c>
      <c r="H14" s="10">
        <f t="shared" si="3"/>
        <v>1.372492842914284</v>
      </c>
    </row>
    <row r="15" spans="1:11" x14ac:dyDescent="0.35">
      <c r="A15" s="17">
        <v>9</v>
      </c>
      <c r="B15" s="17">
        <v>1987</v>
      </c>
      <c r="C15" s="18">
        <v>36080</v>
      </c>
      <c r="D15" s="17">
        <v>8242</v>
      </c>
      <c r="E15" s="10">
        <f t="shared" si="0"/>
        <v>0.92097972367935532</v>
      </c>
      <c r="F15" s="10">
        <f t="shared" si="1"/>
        <v>6166.0539365065461</v>
      </c>
      <c r="G15" s="10">
        <f t="shared" si="2"/>
        <v>8.4206728368989639E-2</v>
      </c>
      <c r="H15" s="10">
        <f t="shared" si="3"/>
        <v>0.29018395608473885</v>
      </c>
    </row>
    <row r="16" spans="1:11" x14ac:dyDescent="0.35">
      <c r="A16" s="17">
        <v>10</v>
      </c>
      <c r="B16" s="17">
        <v>1988</v>
      </c>
      <c r="C16" s="18">
        <v>31891</v>
      </c>
      <c r="D16" s="17">
        <v>14133</v>
      </c>
      <c r="E16" s="10">
        <f t="shared" si="0"/>
        <v>0.81405111884307979</v>
      </c>
      <c r="F16" s="10">
        <f t="shared" si="1"/>
        <v>5488.5989795062642</v>
      </c>
      <c r="G16" s="10">
        <f t="shared" si="2"/>
        <v>0.89461228489158484</v>
      </c>
      <c r="H16" s="10">
        <f t="shared" si="3"/>
        <v>0.94583946042210831</v>
      </c>
    </row>
    <row r="17" spans="1:8" x14ac:dyDescent="0.35">
      <c r="A17" s="17">
        <v>11</v>
      </c>
      <c r="B17" s="17">
        <v>1989</v>
      </c>
      <c r="C17" s="18">
        <v>47736</v>
      </c>
      <c r="D17" s="17">
        <v>5133</v>
      </c>
      <c r="E17" s="10">
        <f t="shared" si="0"/>
        <v>1.2185113106861891</v>
      </c>
      <c r="F17" s="10">
        <f t="shared" si="1"/>
        <v>8002.1033854206171</v>
      </c>
      <c r="G17" s="10">
        <f t="shared" si="2"/>
        <v>0.19714856248838272</v>
      </c>
      <c r="H17" s="10">
        <f t="shared" si="3"/>
        <v>-0.44401414672100564</v>
      </c>
    </row>
    <row r="18" spans="1:8" x14ac:dyDescent="0.35">
      <c r="A18" s="17">
        <v>12</v>
      </c>
      <c r="B18" s="17">
        <v>1990</v>
      </c>
      <c r="C18" s="18">
        <v>42120</v>
      </c>
      <c r="D18" s="17">
        <v>7451</v>
      </c>
      <c r="E18" s="10">
        <f t="shared" si="0"/>
        <v>1.0751570388407552</v>
      </c>
      <c r="F18" s="10">
        <f t="shared" si="1"/>
        <v>7126.3174875040922</v>
      </c>
      <c r="G18" s="10">
        <f t="shared" si="2"/>
        <v>1.9850261229505937E-3</v>
      </c>
      <c r="H18" s="10">
        <f t="shared" si="3"/>
        <v>4.4553631983830402E-2</v>
      </c>
    </row>
    <row r="19" spans="1:8" x14ac:dyDescent="0.35">
      <c r="A19" s="17">
        <v>13</v>
      </c>
      <c r="B19" s="17">
        <v>1991</v>
      </c>
      <c r="C19" s="18">
        <v>52000</v>
      </c>
      <c r="D19" s="17">
        <v>9650</v>
      </c>
      <c r="E19" s="10">
        <f t="shared" si="0"/>
        <v>1.3273543689392038</v>
      </c>
      <c r="F19" s="10">
        <f t="shared" si="1"/>
        <v>8656.3519889618001</v>
      </c>
      <c r="G19" s="10">
        <f t="shared" si="2"/>
        <v>1.1807980061508939E-2</v>
      </c>
      <c r="H19" s="10">
        <f t="shared" si="3"/>
        <v>0.10866452991436044</v>
      </c>
    </row>
    <row r="20" spans="1:8" x14ac:dyDescent="0.35">
      <c r="A20" s="17">
        <v>14</v>
      </c>
      <c r="B20" s="17">
        <v>1992</v>
      </c>
      <c r="C20" s="18">
        <v>42324</v>
      </c>
      <c r="D20" s="17">
        <v>3653</v>
      </c>
      <c r="E20" s="10">
        <f t="shared" si="0"/>
        <v>1.0803643521342858</v>
      </c>
      <c r="F20" s="10">
        <f t="shared" si="1"/>
        <v>7158.415124205374</v>
      </c>
      <c r="G20" s="10">
        <f t="shared" si="2"/>
        <v>0.4525789155860509</v>
      </c>
      <c r="H20" s="10">
        <f t="shared" si="3"/>
        <v>-0.67273985728961461</v>
      </c>
    </row>
    <row r="21" spans="1:8" x14ac:dyDescent="0.35">
      <c r="A21" s="17">
        <v>15</v>
      </c>
      <c r="B21" s="17">
        <v>1993</v>
      </c>
      <c r="C21" s="18">
        <v>33483</v>
      </c>
      <c r="D21" s="17">
        <v>4723</v>
      </c>
      <c r="E21" s="10">
        <f t="shared" si="0"/>
        <v>0.85468858336906472</v>
      </c>
      <c r="F21" s="10">
        <f t="shared" si="1"/>
        <v>5747.1838211142049</v>
      </c>
      <c r="G21" s="10">
        <f t="shared" si="2"/>
        <v>3.852025391728698E-2</v>
      </c>
      <c r="H21" s="10">
        <f t="shared" si="3"/>
        <v>-0.19626577367765111</v>
      </c>
    </row>
    <row r="22" spans="1:8" x14ac:dyDescent="0.35">
      <c r="A22" s="17">
        <v>16</v>
      </c>
      <c r="B22" s="17">
        <v>1994</v>
      </c>
      <c r="C22" s="18">
        <v>28516</v>
      </c>
      <c r="D22" s="17">
        <v>3561</v>
      </c>
      <c r="E22" s="10">
        <f t="shared" si="0"/>
        <v>0.72790071508981413</v>
      </c>
      <c r="F22" s="10">
        <f t="shared" si="1"/>
        <v>4935.7945442497476</v>
      </c>
      <c r="G22" s="10">
        <f t="shared" si="2"/>
        <v>0.10658413492022112</v>
      </c>
      <c r="H22" s="10">
        <f t="shared" si="3"/>
        <v>-0.32647225750470904</v>
      </c>
    </row>
    <row r="23" spans="1:8" x14ac:dyDescent="0.35">
      <c r="A23" s="17">
        <v>17</v>
      </c>
      <c r="B23" s="17">
        <v>1995</v>
      </c>
      <c r="C23" s="18">
        <v>20003</v>
      </c>
      <c r="D23" s="17">
        <v>2093</v>
      </c>
      <c r="E23" s="10">
        <f t="shared" si="0"/>
        <v>0.51059748926713255</v>
      </c>
      <c r="F23" s="10">
        <f t="shared" si="1"/>
        <v>3512.9350937037539</v>
      </c>
      <c r="G23" s="10">
        <f t="shared" si="2"/>
        <v>0.2681721994244321</v>
      </c>
      <c r="H23" s="10">
        <f t="shared" si="3"/>
        <v>-0.51785345361833024</v>
      </c>
    </row>
    <row r="24" spans="1:8" x14ac:dyDescent="0.35">
      <c r="A24" s="17">
        <v>18</v>
      </c>
      <c r="B24" s="17">
        <v>1996</v>
      </c>
      <c r="C24" s="18">
        <v>15789</v>
      </c>
      <c r="D24" s="17">
        <v>3592</v>
      </c>
      <c r="E24" s="10">
        <f t="shared" si="0"/>
        <v>0.40303073329194405</v>
      </c>
      <c r="F24" s="10">
        <f t="shared" si="1"/>
        <v>2793.0943629826079</v>
      </c>
      <c r="G24" s="10">
        <f t="shared" si="2"/>
        <v>6.3281969985123102E-2</v>
      </c>
      <c r="H24" s="10">
        <f t="shared" si="3"/>
        <v>0.25155907851859194</v>
      </c>
    </row>
    <row r="25" spans="1:8" x14ac:dyDescent="0.35">
      <c r="A25" s="17">
        <v>19</v>
      </c>
      <c r="B25" s="17">
        <v>1997</v>
      </c>
      <c r="C25" s="18">
        <v>18842</v>
      </c>
      <c r="D25" s="17">
        <v>5629</v>
      </c>
      <c r="E25" s="10">
        <f t="shared" si="0"/>
        <v>0.48096175037600919</v>
      </c>
      <c r="F25" s="10">
        <f t="shared" si="1"/>
        <v>3315.654060335994</v>
      </c>
      <c r="G25" s="10">
        <f t="shared" si="2"/>
        <v>0.28013403585424096</v>
      </c>
      <c r="H25" s="10">
        <f t="shared" si="3"/>
        <v>0.52927689903701736</v>
      </c>
    </row>
    <row r="26" spans="1:8" x14ac:dyDescent="0.35">
      <c r="A26" s="17">
        <v>20</v>
      </c>
      <c r="B26" s="17">
        <v>1998</v>
      </c>
      <c r="C26" s="18">
        <v>17485</v>
      </c>
      <c r="D26" s="17">
        <v>2177</v>
      </c>
      <c r="E26" s="10">
        <f t="shared" si="0"/>
        <v>0.44632290655580731</v>
      </c>
      <c r="F26" s="10">
        <f t="shared" si="1"/>
        <v>3084.066082899868</v>
      </c>
      <c r="G26" s="10">
        <f t="shared" si="2"/>
        <v>0.12131365687278867</v>
      </c>
      <c r="H26" s="10">
        <f t="shared" si="3"/>
        <v>-0.34830110087794541</v>
      </c>
    </row>
    <row r="27" spans="1:8" x14ac:dyDescent="0.35">
      <c r="A27" s="17">
        <v>21</v>
      </c>
      <c r="B27" s="17">
        <v>1999</v>
      </c>
      <c r="C27" s="18">
        <v>14874</v>
      </c>
      <c r="D27" s="17">
        <v>4862</v>
      </c>
      <c r="E27" s="10">
        <f t="shared" si="0"/>
        <v>0.37967440160772536</v>
      </c>
      <c r="F27" s="10">
        <f t="shared" si="1"/>
        <v>2635.4032259015239</v>
      </c>
      <c r="G27" s="10">
        <f t="shared" si="2"/>
        <v>0.37505051385939303</v>
      </c>
      <c r="H27" s="10">
        <f t="shared" si="3"/>
        <v>0.61241367870042962</v>
      </c>
    </row>
    <row r="28" spans="1:8" x14ac:dyDescent="0.35">
      <c r="A28" s="17">
        <v>22</v>
      </c>
      <c r="B28" s="17">
        <v>2000</v>
      </c>
      <c r="C28" s="18">
        <v>16933</v>
      </c>
      <c r="D28" s="17">
        <v>1888</v>
      </c>
      <c r="E28" s="10">
        <f t="shared" si="0"/>
        <v>0.43223252940860651</v>
      </c>
      <c r="F28" s="10">
        <f t="shared" si="1"/>
        <v>2989.5501633241861</v>
      </c>
      <c r="G28" s="10">
        <f t="shared" si="2"/>
        <v>0.2112366285418309</v>
      </c>
      <c r="H28" s="10">
        <f t="shared" si="3"/>
        <v>-0.4596048613122265</v>
      </c>
    </row>
    <row r="29" spans="1:8" x14ac:dyDescent="0.35">
      <c r="A29" s="17">
        <v>23</v>
      </c>
      <c r="B29" s="17">
        <v>2001</v>
      </c>
      <c r="C29" s="18">
        <v>16501</v>
      </c>
      <c r="D29" s="17">
        <v>1188</v>
      </c>
      <c r="E29" s="10">
        <f t="shared" si="0"/>
        <v>0.4212052777281885</v>
      </c>
      <c r="F29" s="10">
        <f t="shared" si="1"/>
        <v>2915.4553638526831</v>
      </c>
      <c r="G29" s="10">
        <f t="shared" si="2"/>
        <v>0.80596368213771385</v>
      </c>
      <c r="H29" s="10">
        <f t="shared" si="3"/>
        <v>-0.89775480067650648</v>
      </c>
    </row>
    <row r="30" spans="1:8" x14ac:dyDescent="0.35">
      <c r="A30" s="17">
        <v>24</v>
      </c>
      <c r="B30" s="17">
        <v>2002</v>
      </c>
      <c r="C30" s="18">
        <v>19553</v>
      </c>
      <c r="D30" s="17">
        <v>2347</v>
      </c>
      <c r="E30" s="10">
        <f t="shared" si="0"/>
        <v>0.49911076876669719</v>
      </c>
      <c r="F30" s="10">
        <f t="shared" si="1"/>
        <v>3436.5630639075657</v>
      </c>
      <c r="G30" s="10">
        <f t="shared" si="2"/>
        <v>0.14541557817730255</v>
      </c>
      <c r="H30" s="10">
        <f t="shared" si="3"/>
        <v>-0.38133394574480584</v>
      </c>
    </row>
    <row r="31" spans="1:8" x14ac:dyDescent="0.35">
      <c r="A31" s="17">
        <v>25</v>
      </c>
      <c r="B31" s="17">
        <v>2003</v>
      </c>
      <c r="C31" s="18">
        <v>15844</v>
      </c>
      <c r="D31" s="17">
        <v>563</v>
      </c>
      <c r="E31" s="10">
        <f t="shared" si="0"/>
        <v>0.40443466579755283</v>
      </c>
      <c r="F31" s="10">
        <f t="shared" si="1"/>
        <v>2802.5571535549693</v>
      </c>
      <c r="G31" s="10">
        <f t="shared" si="2"/>
        <v>2.5760504244628368</v>
      </c>
      <c r="H31" s="10">
        <f t="shared" si="3"/>
        <v>-1.6050079203738641</v>
      </c>
    </row>
    <row r="32" spans="1:8" x14ac:dyDescent="0.35">
      <c r="A32" s="17">
        <v>26</v>
      </c>
      <c r="B32" s="17">
        <v>2004</v>
      </c>
      <c r="C32" s="18">
        <v>11062</v>
      </c>
      <c r="D32" s="17">
        <v>4262</v>
      </c>
      <c r="E32" s="10">
        <f t="shared" si="0"/>
        <v>0.28236911594625907</v>
      </c>
      <c r="F32" s="10">
        <f t="shared" si="1"/>
        <v>1973.0238746532489</v>
      </c>
      <c r="G32" s="10">
        <f t="shared" si="2"/>
        <v>0.59316368658734731</v>
      </c>
      <c r="H32" s="10">
        <f t="shared" si="3"/>
        <v>0.77017120602327593</v>
      </c>
    </row>
    <row r="33" spans="1:8" x14ac:dyDescent="0.35">
      <c r="A33" s="17">
        <v>27</v>
      </c>
      <c r="B33" s="17">
        <v>2005</v>
      </c>
      <c r="C33" s="18">
        <v>9984</v>
      </c>
      <c r="D33" s="17">
        <v>622</v>
      </c>
      <c r="E33" s="10">
        <f t="shared" si="0"/>
        <v>0.25485203883632712</v>
      </c>
      <c r="F33" s="10">
        <f t="shared" si="1"/>
        <v>1784.1074205128705</v>
      </c>
      <c r="G33" s="10">
        <f t="shared" si="2"/>
        <v>1.1103541454615933</v>
      </c>
      <c r="H33" s="10">
        <f t="shared" si="3"/>
        <v>-1.0537334318799956</v>
      </c>
    </row>
    <row r="34" spans="1:8" x14ac:dyDescent="0.35">
      <c r="A34" s="17">
        <v>28</v>
      </c>
      <c r="B34" s="17">
        <v>2006</v>
      </c>
      <c r="C34" s="18">
        <v>5785</v>
      </c>
      <c r="D34" s="17">
        <v>3353</v>
      </c>
      <c r="E34" s="17">
        <f t="shared" si="0"/>
        <v>0.14766817354448644</v>
      </c>
      <c r="F34" s="17">
        <f t="shared" si="1"/>
        <v>1041.4053305812474</v>
      </c>
      <c r="G34" s="17">
        <f t="shared" si="2"/>
        <v>1.3672259778740872</v>
      </c>
      <c r="H34" s="17">
        <f t="shared" si="3"/>
        <v>1.1692843870821537</v>
      </c>
    </row>
    <row r="35" spans="1:8" x14ac:dyDescent="0.35">
      <c r="A35" s="17">
        <v>29</v>
      </c>
      <c r="B35" s="17">
        <v>2007</v>
      </c>
      <c r="C35" s="18">
        <v>7263</v>
      </c>
      <c r="D35" s="17">
        <v>1425</v>
      </c>
      <c r="E35" s="17">
        <f t="shared" si="0"/>
        <v>0.18539566887702766</v>
      </c>
      <c r="F35" s="17">
        <f t="shared" si="1"/>
        <v>1304.0775567546877</v>
      </c>
      <c r="G35" s="17">
        <f t="shared" si="2"/>
        <v>7.863410974774613E-3</v>
      </c>
      <c r="H35" s="17">
        <f t="shared" si="3"/>
        <v>8.8675875945911128E-2</v>
      </c>
    </row>
    <row r="36" spans="1:8" x14ac:dyDescent="0.35">
      <c r="A36" s="17">
        <v>30</v>
      </c>
      <c r="B36" s="17">
        <v>2008</v>
      </c>
      <c r="C36" s="18">
        <v>7103</v>
      </c>
      <c r="D36" s="17">
        <v>496</v>
      </c>
      <c r="E36" s="17">
        <f t="shared" si="0"/>
        <v>0.18131150158798395</v>
      </c>
      <c r="F36" s="17">
        <f t="shared" si="1"/>
        <v>1275.7079882274816</v>
      </c>
      <c r="G36" s="17">
        <f t="shared" si="2"/>
        <v>0.89242155247336785</v>
      </c>
      <c r="H36" s="17">
        <f t="shared" si="3"/>
        <v>-0.94468066163829556</v>
      </c>
    </row>
    <row r="37" spans="1:8" x14ac:dyDescent="0.35">
      <c r="A37" s="17">
        <v>31</v>
      </c>
      <c r="B37" s="17">
        <v>2009</v>
      </c>
      <c r="C37" s="18">
        <v>8292</v>
      </c>
      <c r="D37" s="17">
        <v>1142</v>
      </c>
      <c r="E37" s="17">
        <f t="shared" si="0"/>
        <v>0.21166196975468998</v>
      </c>
      <c r="F37" s="17">
        <f t="shared" si="1"/>
        <v>1486.1489464027757</v>
      </c>
      <c r="G37" s="17">
        <f t="shared" si="2"/>
        <v>6.9383280917114085E-2</v>
      </c>
      <c r="H37" s="17">
        <f t="shared" si="3"/>
        <v>-0.26340706314963169</v>
      </c>
    </row>
    <row r="38" spans="1:8" x14ac:dyDescent="0.35">
      <c r="A38" s="17">
        <v>32</v>
      </c>
      <c r="B38" s="17">
        <v>2010</v>
      </c>
      <c r="C38" s="18">
        <v>9448</v>
      </c>
      <c r="D38" s="17">
        <v>1181</v>
      </c>
      <c r="E38" s="17">
        <f t="shared" si="0"/>
        <v>0.24117007841803073</v>
      </c>
      <c r="F38" s="17">
        <f t="shared" si="1"/>
        <v>1689.9096283516799</v>
      </c>
      <c r="G38" s="17">
        <f t="shared" si="2"/>
        <v>0.12838857570659934</v>
      </c>
      <c r="H38" s="17">
        <f t="shared" si="3"/>
        <v>-0.35831351594183458</v>
      </c>
    </row>
    <row r="39" spans="1:8" x14ac:dyDescent="0.35">
      <c r="A39" s="17">
        <v>33</v>
      </c>
      <c r="B39" s="17">
        <v>2011</v>
      </c>
      <c r="C39" s="18">
        <v>7362</v>
      </c>
      <c r="D39" s="17">
        <v>3155</v>
      </c>
      <c r="E39" s="17">
        <f t="shared" si="0"/>
        <v>0.18792274738712345</v>
      </c>
      <c r="F39" s="17">
        <f t="shared" si="1"/>
        <v>1321.6232421011143</v>
      </c>
      <c r="G39" s="17">
        <f t="shared" si="2"/>
        <v>0.75712236401737787</v>
      </c>
      <c r="H39" s="17">
        <f t="shared" si="3"/>
        <v>0.87012778602764884</v>
      </c>
    </row>
    <row r="40" spans="1:8" x14ac:dyDescent="0.35">
      <c r="A40" s="17">
        <v>34</v>
      </c>
      <c r="B40" s="17">
        <v>2012</v>
      </c>
      <c r="C40" s="18">
        <v>6027</v>
      </c>
      <c r="D40" s="17">
        <v>1656</v>
      </c>
      <c r="E40" s="17">
        <f t="shared" si="0"/>
        <v>0.15384547656916503</v>
      </c>
      <c r="F40" s="17">
        <f t="shared" si="1"/>
        <v>1084.5074947080673</v>
      </c>
      <c r="G40" s="17">
        <f t="shared" si="2"/>
        <v>0.1791651913771975</v>
      </c>
      <c r="H40" s="17">
        <f t="shared" si="3"/>
        <v>0.42327909395243879</v>
      </c>
    </row>
    <row r="41" spans="1:8" x14ac:dyDescent="0.35">
      <c r="A41" s="17">
        <v>35</v>
      </c>
      <c r="B41" s="17">
        <v>2013</v>
      </c>
      <c r="C41" s="18">
        <v>5028</v>
      </c>
      <c r="D41" s="17">
        <v>762</v>
      </c>
      <c r="E41" s="17">
        <f t="shared" si="0"/>
        <v>0.1283449570581984</v>
      </c>
      <c r="F41" s="17">
        <f t="shared" si="1"/>
        <v>906.33994150357489</v>
      </c>
      <c r="G41" s="17">
        <f t="shared" si="2"/>
        <v>3.0091109331062682E-2</v>
      </c>
      <c r="H41" s="17">
        <f t="shared" si="3"/>
        <v>-0.17346789135474816</v>
      </c>
    </row>
    <row r="42" spans="1:8" x14ac:dyDescent="0.35">
      <c r="A42" s="17">
        <v>36</v>
      </c>
      <c r="B42" s="17">
        <v>2014</v>
      </c>
      <c r="C42" s="18">
        <v>6038</v>
      </c>
      <c r="D42" s="17">
        <v>5951</v>
      </c>
      <c r="E42" s="17">
        <f t="shared" si="0"/>
        <v>0.15412626307028679</v>
      </c>
      <c r="F42" s="17">
        <f t="shared" si="1"/>
        <v>1086.4658113668659</v>
      </c>
      <c r="G42" s="17">
        <f t="shared" si="2"/>
        <v>2.8921397412035312</v>
      </c>
      <c r="H42" s="17">
        <f t="shared" si="3"/>
        <v>1.7006292192019785</v>
      </c>
    </row>
    <row r="43" spans="1:8" x14ac:dyDescent="0.35">
      <c r="A43" s="17">
        <v>37</v>
      </c>
      <c r="B43" s="10">
        <v>2015</v>
      </c>
      <c r="C43" s="18">
        <v>7640</v>
      </c>
      <c r="D43" s="17">
        <v>2646</v>
      </c>
      <c r="E43" s="17">
        <f t="shared" si="0"/>
        <v>0.19501898805183687</v>
      </c>
      <c r="F43" s="17">
        <f t="shared" si="1"/>
        <v>1370.8603362281892</v>
      </c>
      <c r="G43" s="17">
        <f t="shared" si="2"/>
        <v>0.43245162271761456</v>
      </c>
      <c r="H43" s="17">
        <f t="shared" si="3"/>
        <v>0.65761054030300836</v>
      </c>
    </row>
    <row r="44" spans="1:8" x14ac:dyDescent="0.35">
      <c r="A44" s="17">
        <v>38</v>
      </c>
      <c r="B44" s="10">
        <v>2016</v>
      </c>
      <c r="C44" s="18">
        <v>8137</v>
      </c>
      <c r="D44" s="17">
        <v>297</v>
      </c>
      <c r="E44" s="17">
        <f t="shared" si="0"/>
        <v>0.20770543269342889</v>
      </c>
      <c r="F44" s="17">
        <f t="shared" si="1"/>
        <v>1458.7652700674544</v>
      </c>
      <c r="G44" s="17">
        <f t="shared" si="2"/>
        <v>2.5332335736686713</v>
      </c>
      <c r="H44" s="17">
        <f t="shared" si="3"/>
        <v>-1.5916135126558431</v>
      </c>
    </row>
    <row r="45" spans="1:8" x14ac:dyDescent="0.35">
      <c r="C45" s="18"/>
      <c r="D45" s="1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F24" sqref="F24"/>
    </sheetView>
  </sheetViews>
  <sheetFormatPr defaultColWidth="8.81640625" defaultRowHeight="14.5" x14ac:dyDescent="0.35"/>
  <cols>
    <col min="1" max="7" width="8.81640625" style="11"/>
    <col min="8" max="8" width="5.54296875" style="11" customWidth="1"/>
    <col min="9" max="16384" width="8.81640625" style="11"/>
  </cols>
  <sheetData>
    <row r="1" spans="1:9" x14ac:dyDescent="0.35">
      <c r="A1" s="15" t="s">
        <v>121</v>
      </c>
      <c r="B1" s="11">
        <f>COUNT($C$2:$E$2)</f>
        <v>3</v>
      </c>
      <c r="C1" s="14" t="s">
        <v>14</v>
      </c>
      <c r="D1" s="14" t="s">
        <v>11</v>
      </c>
      <c r="E1" s="14" t="s">
        <v>8</v>
      </c>
    </row>
    <row r="2" spans="1:9" x14ac:dyDescent="0.35">
      <c r="A2" s="11">
        <f>{32767,32767,0.000001,0.01,FALSE,FALSE,TRUE,1,1,1,0.0001,TRUE}</f>
        <v>32767</v>
      </c>
      <c r="B2" s="11">
        <f>{0,0,1,100,0,FALSE,TRUE,0.075,0,0,FALSE,30}</f>
        <v>0</v>
      </c>
      <c r="C2" s="14">
        <v>-0.5</v>
      </c>
      <c r="D2" s="14">
        <v>0.1801067509426087</v>
      </c>
      <c r="E2" s="14">
        <v>135.96005517913042</v>
      </c>
      <c r="G2" s="16" t="s">
        <v>123</v>
      </c>
      <c r="H2" s="16"/>
      <c r="I2" s="16" t="s">
        <v>122</v>
      </c>
    </row>
    <row r="3" spans="1:9" x14ac:dyDescent="0.35">
      <c r="A3" s="11">
        <v>0.96111111111111103</v>
      </c>
      <c r="B3" s="11">
        <v>24.676470588235201</v>
      </c>
      <c r="C3" s="11">
        <f>$E$2*(1-EXP(-A3*($D$2-$C$2)))</f>
        <v>65.241854465817028</v>
      </c>
      <c r="D3" s="11">
        <f>LN(B3/C3)</f>
        <v>-0.97225102078620906</v>
      </c>
      <c r="E3" s="11">
        <f>LN(NORMDIST(D3,0,0.1,FALSE))</f>
        <v>-45.879955811201896</v>
      </c>
      <c r="G3" s="16">
        <v>2.75</v>
      </c>
      <c r="H3" s="16"/>
      <c r="I3" s="16">
        <f>$E$2*(1-EXP(-G3*($D$2-$C$2)))</f>
        <v>115.01154426863638</v>
      </c>
    </row>
    <row r="4" spans="1:9" x14ac:dyDescent="0.35">
      <c r="A4" s="11">
        <v>1.9722222222222201</v>
      </c>
      <c r="B4" s="11">
        <v>42.259803921568597</v>
      </c>
      <c r="C4" s="11">
        <f t="shared" ref="C4:C10" si="0">$E$2*(1-EXP(-A4*($D$2-$C$2)))</f>
        <v>100.40652393834907</v>
      </c>
      <c r="D4" s="11">
        <f t="shared" ref="D4:D10" si="1">LN(B4/C4)</f>
        <v>-0.86539081224647496</v>
      </c>
      <c r="E4" s="11">
        <f t="shared" ref="E4:E10" si="2">LN(NORMDIST(D4,0,0.1,FALSE))</f>
        <v>-36.061416336241301</v>
      </c>
      <c r="G4" s="16"/>
      <c r="H4" s="16"/>
      <c r="I4" s="16"/>
    </row>
    <row r="5" spans="1:9" x14ac:dyDescent="0.35">
      <c r="A5" s="11">
        <v>2.9638888888888801</v>
      </c>
      <c r="B5" s="11">
        <v>55.873774509803901</v>
      </c>
      <c r="C5" s="11">
        <f t="shared" si="0"/>
        <v>117.84759175453078</v>
      </c>
      <c r="D5" s="11">
        <f t="shared" si="1"/>
        <v>-0.74629707435418768</v>
      </c>
      <c r="E5" s="11">
        <f t="shared" si="2"/>
        <v>-26.464319599691621</v>
      </c>
      <c r="G5" s="16"/>
      <c r="H5" s="16"/>
      <c r="I5" s="16"/>
    </row>
    <row r="6" spans="1:9" x14ac:dyDescent="0.35">
      <c r="A6" s="11">
        <v>3.9555555555555499</v>
      </c>
      <c r="B6" s="11">
        <v>69.046568627450895</v>
      </c>
      <c r="C6" s="11">
        <f t="shared" si="0"/>
        <v>126.73280489319659</v>
      </c>
      <c r="D6" s="11">
        <f t="shared" si="1"/>
        <v>-0.60729978708255627</v>
      </c>
      <c r="E6" s="11">
        <f t="shared" si="2"/>
        <v>-17.057005009736535</v>
      </c>
      <c r="G6" s="16"/>
      <c r="H6" s="16"/>
      <c r="I6" s="16"/>
    </row>
    <row r="7" spans="1:9" x14ac:dyDescent="0.35">
      <c r="A7" s="11">
        <v>4.9666666666666597</v>
      </c>
      <c r="B7" s="11">
        <v>79.129901960784295</v>
      </c>
      <c r="C7" s="11">
        <f t="shared" si="0"/>
        <v>131.32106086085875</v>
      </c>
      <c r="D7" s="11">
        <f t="shared" si="1"/>
        <v>-0.50655434038525438</v>
      </c>
      <c r="E7" s="11">
        <f t="shared" si="2"/>
        <v>-11.446218428367633</v>
      </c>
      <c r="G7" s="16"/>
      <c r="H7" s="16"/>
      <c r="I7" s="16"/>
    </row>
    <row r="8" spans="1:9" x14ac:dyDescent="0.35">
      <c r="A8" s="11">
        <v>5.9388888888888802</v>
      </c>
      <c r="B8" s="11">
        <v>87.450980392156794</v>
      </c>
      <c r="C8" s="11">
        <f t="shared" si="0"/>
        <v>133.56529592827985</v>
      </c>
      <c r="D8" s="11">
        <f t="shared" si="1"/>
        <v>-0.42351205405315639</v>
      </c>
      <c r="E8" s="11">
        <f t="shared" si="2"/>
        <v>-7.5844764366268098</v>
      </c>
      <c r="G8" s="16"/>
      <c r="H8" s="16"/>
      <c r="I8" s="16"/>
    </row>
    <row r="9" spans="1:9" x14ac:dyDescent="0.35">
      <c r="A9" s="11">
        <v>6.9694444444444397</v>
      </c>
      <c r="B9" s="11">
        <v>93.5625</v>
      </c>
      <c r="C9" s="11">
        <f t="shared" si="0"/>
        <v>134.77190822305548</v>
      </c>
      <c r="D9" s="11">
        <f t="shared" si="1"/>
        <v>-0.36495411860950322</v>
      </c>
      <c r="E9" s="11">
        <f t="shared" si="2"/>
        <v>-5.2759288747125934</v>
      </c>
      <c r="G9" s="16"/>
      <c r="H9" s="16"/>
      <c r="I9" s="16"/>
    </row>
    <row r="10" spans="1:9" x14ac:dyDescent="0.35">
      <c r="A10" s="11">
        <v>7.9611111111111104</v>
      </c>
      <c r="B10" s="11">
        <v>100.117647058823</v>
      </c>
      <c r="C10" s="11">
        <f t="shared" si="0"/>
        <v>135.35476317200985</v>
      </c>
      <c r="D10" s="11">
        <f t="shared" si="1"/>
        <v>-0.30155324188236393</v>
      </c>
      <c r="E10" s="11">
        <f t="shared" si="2"/>
        <v>-3.1630713246988016</v>
      </c>
      <c r="F10" s="11">
        <f>-SUM(E3:E10)</f>
        <v>152.93239182127718</v>
      </c>
      <c r="G10" s="16"/>
      <c r="H10" s="16"/>
      <c r="I10" s="16"/>
    </row>
    <row r="11" spans="1:9" x14ac:dyDescent="0.35">
      <c r="G11" s="16"/>
      <c r="H11" s="16"/>
      <c r="I11" s="16"/>
    </row>
    <row r="12" spans="1:9" x14ac:dyDescent="0.35">
      <c r="A12" s="13"/>
      <c r="C12" s="12"/>
      <c r="D12" s="12"/>
      <c r="E12" s="12"/>
      <c r="G12" s="16"/>
      <c r="H12" s="16"/>
      <c r="I12" s="16"/>
    </row>
    <row r="13" spans="1:9" x14ac:dyDescent="0.35">
      <c r="C13" s="12"/>
      <c r="D13" s="12"/>
      <c r="E13" s="12"/>
      <c r="G13" s="16"/>
      <c r="H13" s="16"/>
      <c r="I13" s="16" t="s">
        <v>124</v>
      </c>
    </row>
    <row r="14" spans="1:9" x14ac:dyDescent="0.35">
      <c r="G14" s="16"/>
      <c r="H14" s="16"/>
      <c r="I14" s="16">
        <f>$E$13*(1-EXP(-G14*($D$13-$C$13)))</f>
        <v>0</v>
      </c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H34" sqref="H34"/>
    </sheetView>
  </sheetViews>
  <sheetFormatPr defaultRowHeight="14.5" x14ac:dyDescent="0.35"/>
  <cols>
    <col min="2" max="2" width="11" bestFit="1" customWidth="1"/>
    <col min="3" max="6" width="11" style="11" customWidth="1"/>
    <col min="10" max="10" width="10.54296875" bestFit="1" customWidth="1"/>
  </cols>
  <sheetData>
    <row r="1" spans="1:15" s="11" customFormat="1" x14ac:dyDescent="0.35">
      <c r="A1" s="11" t="s">
        <v>3</v>
      </c>
      <c r="B1" s="11">
        <v>0.2</v>
      </c>
      <c r="I1" s="11" t="s">
        <v>3</v>
      </c>
      <c r="J1" s="11">
        <v>0.6</v>
      </c>
    </row>
    <row r="2" spans="1:15" s="11" customFormat="1" x14ac:dyDescent="0.35">
      <c r="A2" s="11" t="s">
        <v>2</v>
      </c>
      <c r="B2" s="11">
        <f>SR!D4*1000</f>
        <v>6660626.8768568942</v>
      </c>
      <c r="I2" s="11" t="s">
        <v>2</v>
      </c>
      <c r="J2" s="11">
        <f>B2</f>
        <v>6660626.8768568942</v>
      </c>
    </row>
    <row r="3" spans="1:15" s="11" customFormat="1" x14ac:dyDescent="0.35">
      <c r="A3" s="11" t="s">
        <v>125</v>
      </c>
      <c r="B3" s="11">
        <v>2.5</v>
      </c>
      <c r="I3" s="11" t="s">
        <v>125</v>
      </c>
      <c r="J3" s="11">
        <v>2.5</v>
      </c>
    </row>
    <row r="4" spans="1:15" s="11" customFormat="1" x14ac:dyDescent="0.35">
      <c r="A4" s="11" t="s">
        <v>126</v>
      </c>
      <c r="B4" s="11">
        <v>0.25</v>
      </c>
      <c r="I4" s="11" t="s">
        <v>126</v>
      </c>
      <c r="J4" s="11">
        <v>0.25</v>
      </c>
    </row>
    <row r="5" spans="1:15" s="11" customFormat="1" x14ac:dyDescent="0.35">
      <c r="A5" s="11" t="s">
        <v>127</v>
      </c>
      <c r="B5" s="11">
        <f>'Length at age'!D26</f>
        <v>0.1801067509426087</v>
      </c>
      <c r="I5" s="11" t="s">
        <v>127</v>
      </c>
      <c r="J5" s="11">
        <f>B5</f>
        <v>0.1801067509426087</v>
      </c>
    </row>
    <row r="6" spans="1:15" s="11" customFormat="1" x14ac:dyDescent="0.35">
      <c r="A6" s="11" t="s">
        <v>8</v>
      </c>
      <c r="B6" s="11">
        <f>'Length at age'!C26</f>
        <v>135.96005517913042</v>
      </c>
      <c r="I6" s="11" t="s">
        <v>8</v>
      </c>
      <c r="J6" s="11">
        <f>B6</f>
        <v>135.96005517913042</v>
      </c>
    </row>
    <row r="7" spans="1:15" s="17" customFormat="1" x14ac:dyDescent="0.35">
      <c r="A7" s="17" t="s">
        <v>14</v>
      </c>
      <c r="B7" s="17">
        <v>-0.5</v>
      </c>
      <c r="I7" s="17" t="str">
        <f>A7</f>
        <v>t0</v>
      </c>
      <c r="J7" s="17">
        <f>B7</f>
        <v>-0.5</v>
      </c>
    </row>
    <row r="8" spans="1:15" s="11" customFormat="1" x14ac:dyDescent="0.35">
      <c r="A8" s="11" t="s">
        <v>16</v>
      </c>
      <c r="B8" s="11">
        <v>6.9999999999999999E-6</v>
      </c>
      <c r="I8" s="11" t="s">
        <v>16</v>
      </c>
      <c r="J8" s="11">
        <v>6.9999999999999999E-6</v>
      </c>
    </row>
    <row r="9" spans="1:15" s="11" customFormat="1" x14ac:dyDescent="0.35">
      <c r="A9" s="11" t="s">
        <v>17</v>
      </c>
      <c r="B9" s="11">
        <v>3.08</v>
      </c>
      <c r="I9" s="11" t="s">
        <v>17</v>
      </c>
      <c r="J9" s="11">
        <v>3.08</v>
      </c>
    </row>
    <row r="10" spans="1:15" x14ac:dyDescent="0.35">
      <c r="A10" t="s">
        <v>119</v>
      </c>
      <c r="B10" t="s">
        <v>128</v>
      </c>
      <c r="C10" s="11" t="s">
        <v>129</v>
      </c>
      <c r="D10" s="11" t="s">
        <v>130</v>
      </c>
      <c r="E10" s="11" t="s">
        <v>3</v>
      </c>
      <c r="F10" s="11" t="s">
        <v>111</v>
      </c>
      <c r="I10" s="11" t="s">
        <v>119</v>
      </c>
      <c r="J10" s="11" t="s">
        <v>128</v>
      </c>
      <c r="K10" s="11" t="s">
        <v>129</v>
      </c>
      <c r="L10" s="11" t="s">
        <v>130</v>
      </c>
      <c r="M10" s="11" t="s">
        <v>3</v>
      </c>
      <c r="N10" s="11" t="s">
        <v>111</v>
      </c>
      <c r="O10" s="11"/>
    </row>
    <row r="11" spans="1:15" x14ac:dyDescent="0.35">
      <c r="A11">
        <v>1</v>
      </c>
      <c r="B11" s="36">
        <f>B2</f>
        <v>6660626.8768568942</v>
      </c>
      <c r="C11" s="11">
        <f>B$6*(1-EXP(-B$5*(A11-$B$7)))</f>
        <v>32.187555055241589</v>
      </c>
      <c r="D11" s="11">
        <f>B$8*C11^B$9</f>
        <v>0.30816055444300111</v>
      </c>
      <c r="E11" s="11">
        <f>1/(1+EXP((B$3-A11)/B$4))</f>
        <v>2.4726231566347743E-3</v>
      </c>
      <c r="F11" s="11">
        <f>E11*D11*B11</f>
        <v>5075.1640445379071</v>
      </c>
      <c r="G11" s="11"/>
      <c r="I11" s="11">
        <v>1</v>
      </c>
      <c r="J11" s="11">
        <f>J2</f>
        <v>6660626.8768568942</v>
      </c>
      <c r="K11" s="17">
        <f>J$6*(1-EXP(-J$5*(I11-$J$7)))</f>
        <v>32.187555055241589</v>
      </c>
      <c r="L11" s="11">
        <f>J$8*K11^J$9</f>
        <v>0.30816055444300111</v>
      </c>
      <c r="M11" s="11">
        <f>1/(1+EXP((J$3-I11)/J$4))</f>
        <v>2.4726231566347743E-3</v>
      </c>
      <c r="N11" s="11">
        <f>M11*L11*J11</f>
        <v>5075.1640445379071</v>
      </c>
      <c r="O11" s="11"/>
    </row>
    <row r="12" spans="1:15" x14ac:dyDescent="0.35">
      <c r="A12">
        <v>2</v>
      </c>
      <c r="B12" s="36">
        <f>B11*EXP(-B$1)</f>
        <v>5453260.058860491</v>
      </c>
      <c r="C12" s="17">
        <f t="shared" ref="C12:C30" si="0">B$6*(1-EXP(-B$5*(A12-$B$7)))</f>
        <v>49.291229534652182</v>
      </c>
      <c r="D12" s="11">
        <f t="shared" ref="D12:D30" si="1">B$8*C12^B$9</f>
        <v>1.1450608506507589</v>
      </c>
      <c r="E12" s="11">
        <f t="shared" ref="E12:E30" si="2">1/(1+EXP((B$3-A12)/B$4))</f>
        <v>0.11920292202211755</v>
      </c>
      <c r="F12" s="11">
        <f t="shared" ref="F12:F30" si="3">E12*D12*B12</f>
        <v>744340.5465621528</v>
      </c>
      <c r="I12" s="11">
        <v>2</v>
      </c>
      <c r="J12" s="11">
        <f>J11*EXP(-B$1)</f>
        <v>5453260.058860491</v>
      </c>
      <c r="K12" s="17">
        <f t="shared" ref="K12:K30" si="4">J$6*(1-EXP(-J$5*(I12-$J$7)))</f>
        <v>49.291229534652182</v>
      </c>
      <c r="L12" s="11">
        <f t="shared" ref="L12:L30" si="5">J$8*K12^J$9</f>
        <v>1.1450608506507589</v>
      </c>
      <c r="M12" s="11">
        <f t="shared" ref="M12:M30" si="6">1/(1+EXP((J$3-I12)/J$4))</f>
        <v>0.11920292202211755</v>
      </c>
      <c r="N12" s="11">
        <f t="shared" ref="N12:N20" si="7">M12*L12*J12</f>
        <v>744340.5465621528</v>
      </c>
      <c r="O12" s="11"/>
    </row>
    <row r="13" spans="1:15" x14ac:dyDescent="0.35">
      <c r="A13" s="11">
        <v>3</v>
      </c>
      <c r="B13" s="36">
        <f t="shared" ref="B13:B30" si="8">B12*EXP(-B$1)</f>
        <v>4464751.714720929</v>
      </c>
      <c r="C13" s="17">
        <f t="shared" si="0"/>
        <v>63.575894350149916</v>
      </c>
      <c r="D13" s="11">
        <f t="shared" si="1"/>
        <v>2.5074880570307978</v>
      </c>
      <c r="E13" s="11">
        <f t="shared" si="2"/>
        <v>0.88079707797788231</v>
      </c>
      <c r="F13" s="11">
        <f t="shared" si="3"/>
        <v>9860797.7463317439</v>
      </c>
      <c r="G13" s="11"/>
      <c r="I13" s="11">
        <v>3</v>
      </c>
      <c r="J13" s="17">
        <f t="shared" ref="J13:J15" si="9">J12*EXP(-B$1)</f>
        <v>4464751.714720929</v>
      </c>
      <c r="K13" s="17">
        <f t="shared" si="4"/>
        <v>63.575894350149916</v>
      </c>
      <c r="L13" s="11">
        <f t="shared" si="5"/>
        <v>2.5074880570307978</v>
      </c>
      <c r="M13" s="11">
        <f t="shared" si="6"/>
        <v>0.88079707797788231</v>
      </c>
      <c r="N13" s="11">
        <f t="shared" si="7"/>
        <v>9860797.7463317439</v>
      </c>
      <c r="O13" s="11"/>
    </row>
    <row r="14" spans="1:15" x14ac:dyDescent="0.35">
      <c r="A14" s="11">
        <v>4</v>
      </c>
      <c r="B14" s="36">
        <f t="shared" si="8"/>
        <v>3655429.5336996769</v>
      </c>
      <c r="C14" s="17">
        <f t="shared" si="0"/>
        <v>75.506175713768968</v>
      </c>
      <c r="D14" s="11">
        <f t="shared" si="1"/>
        <v>4.2587687745822107</v>
      </c>
      <c r="E14" s="11">
        <f t="shared" si="2"/>
        <v>0.99752737684336534</v>
      </c>
      <c r="F14" s="11">
        <f t="shared" si="3"/>
        <v>15529136.275461249</v>
      </c>
      <c r="G14" s="11"/>
      <c r="I14" s="11">
        <v>4</v>
      </c>
      <c r="J14" s="17">
        <f t="shared" si="9"/>
        <v>3655429.5336996769</v>
      </c>
      <c r="K14" s="17">
        <f t="shared" si="4"/>
        <v>75.506175713768968</v>
      </c>
      <c r="L14" s="11">
        <f t="shared" si="5"/>
        <v>4.2587687745822107</v>
      </c>
      <c r="M14" s="11">
        <f t="shared" si="6"/>
        <v>0.99752737684336534</v>
      </c>
      <c r="N14" s="11">
        <f t="shared" si="7"/>
        <v>15529136.275461249</v>
      </c>
      <c r="O14" s="11"/>
    </row>
    <row r="15" spans="1:15" x14ac:dyDescent="0.35">
      <c r="A15" s="11">
        <v>5</v>
      </c>
      <c r="B15" s="36">
        <f t="shared" si="8"/>
        <v>2992812.5749494322</v>
      </c>
      <c r="C15" s="17">
        <f t="shared" si="0"/>
        <v>85.470120633267328</v>
      </c>
      <c r="D15" s="11">
        <f t="shared" si="1"/>
        <v>6.2385855670531249</v>
      </c>
      <c r="E15" s="11">
        <f t="shared" si="2"/>
        <v>0.99995460213129761</v>
      </c>
      <c r="F15" s="11">
        <f t="shared" si="3"/>
        <v>18670069.7151209</v>
      </c>
      <c r="G15" s="11"/>
      <c r="I15" s="11">
        <v>5</v>
      </c>
      <c r="J15" s="17">
        <f t="shared" si="9"/>
        <v>2992812.5749494322</v>
      </c>
      <c r="K15" s="17">
        <f t="shared" si="4"/>
        <v>85.470120633267328</v>
      </c>
      <c r="L15" s="11">
        <f t="shared" si="5"/>
        <v>6.2385855670531249</v>
      </c>
      <c r="M15" s="11">
        <f t="shared" si="6"/>
        <v>0.99995460213129761</v>
      </c>
      <c r="N15" s="11">
        <f t="shared" si="7"/>
        <v>18670069.7151209</v>
      </c>
      <c r="O15" s="11"/>
    </row>
    <row r="16" spans="1:15" x14ac:dyDescent="0.35">
      <c r="A16" s="11">
        <v>6</v>
      </c>
      <c r="B16" s="36">
        <f t="shared" si="8"/>
        <v>2450307.6933096023</v>
      </c>
      <c r="C16" s="17">
        <f t="shared" si="0"/>
        <v>93.791818616145505</v>
      </c>
      <c r="D16" s="11">
        <f t="shared" si="1"/>
        <v>8.3055062082659248</v>
      </c>
      <c r="E16" s="11">
        <f t="shared" si="2"/>
        <v>0.99999916847197223</v>
      </c>
      <c r="F16" s="11">
        <f t="shared" si="3"/>
        <v>20351028.836479716</v>
      </c>
      <c r="G16" s="11"/>
      <c r="I16" s="11">
        <v>6</v>
      </c>
      <c r="J16" s="11">
        <f t="shared" ref="J16:J30" si="10">J15*EXP(-J$1)</f>
        <v>1642490.3657807738</v>
      </c>
      <c r="K16" s="17">
        <f t="shared" si="4"/>
        <v>93.791818616145505</v>
      </c>
      <c r="L16" s="11">
        <f t="shared" si="5"/>
        <v>8.3055062082659248</v>
      </c>
      <c r="M16" s="11">
        <f t="shared" si="6"/>
        <v>0.99999916847197223</v>
      </c>
      <c r="N16" s="11">
        <f t="shared" si="7"/>
        <v>13641702.586541707</v>
      </c>
      <c r="O16" s="11"/>
    </row>
    <row r="17" spans="1:15" x14ac:dyDescent="0.35">
      <c r="A17" s="11">
        <v>7</v>
      </c>
      <c r="B17" s="36">
        <f t="shared" si="8"/>
        <v>2006142.2630161433</v>
      </c>
      <c r="C17" s="17">
        <f t="shared" si="0"/>
        <v>100.741943077665</v>
      </c>
      <c r="D17" s="11">
        <f t="shared" si="1"/>
        <v>10.351084055361252</v>
      </c>
      <c r="E17" s="11">
        <f t="shared" si="2"/>
        <v>0.9999999847700205</v>
      </c>
      <c r="F17" s="11">
        <f t="shared" si="3"/>
        <v>20765746.875230834</v>
      </c>
      <c r="G17" s="11"/>
      <c r="I17" s="11">
        <v>7</v>
      </c>
      <c r="J17" s="11">
        <f t="shared" si="10"/>
        <v>901417.82491282234</v>
      </c>
      <c r="K17" s="17">
        <f t="shared" si="4"/>
        <v>100.741943077665</v>
      </c>
      <c r="L17" s="11">
        <f t="shared" si="5"/>
        <v>10.351084055361252</v>
      </c>
      <c r="M17" s="11">
        <f t="shared" si="6"/>
        <v>0.9999999847700205</v>
      </c>
      <c r="N17" s="11">
        <f t="shared" si="7"/>
        <v>9330651.5325679015</v>
      </c>
      <c r="O17" s="11"/>
    </row>
    <row r="18" spans="1:15" x14ac:dyDescent="0.35">
      <c r="A18" s="11">
        <v>8</v>
      </c>
      <c r="B18" s="36">
        <f t="shared" si="8"/>
        <v>1642490.3657807738</v>
      </c>
      <c r="C18" s="17">
        <f t="shared" si="0"/>
        <v>106.54655532506898</v>
      </c>
      <c r="D18" s="11">
        <f t="shared" si="1"/>
        <v>12.300405630220318</v>
      </c>
      <c r="E18" s="11">
        <f t="shared" si="2"/>
        <v>0.99999999972105313</v>
      </c>
      <c r="F18" s="11">
        <f t="shared" si="3"/>
        <v>20203297.737196814</v>
      </c>
      <c r="G18" s="11"/>
      <c r="I18" s="11">
        <v>8</v>
      </c>
      <c r="J18" s="11">
        <f t="shared" si="10"/>
        <v>494708.59129472467</v>
      </c>
      <c r="K18" s="17">
        <f t="shared" si="4"/>
        <v>106.54655532506898</v>
      </c>
      <c r="L18" s="11">
        <f t="shared" si="5"/>
        <v>12.300405630220318</v>
      </c>
      <c r="M18" s="11">
        <f t="shared" si="6"/>
        <v>0.99999999972105313</v>
      </c>
      <c r="N18" s="11">
        <f t="shared" si="7"/>
        <v>6085116.3399825692</v>
      </c>
      <c r="O18" s="11"/>
    </row>
    <row r="19" spans="1:15" x14ac:dyDescent="0.35">
      <c r="A19" s="11">
        <v>9</v>
      </c>
      <c r="B19" s="36">
        <f t="shared" si="8"/>
        <v>1344757.3740990227</v>
      </c>
      <c r="C19" s="17">
        <f t="shared" si="0"/>
        <v>111.39445747837024</v>
      </c>
      <c r="D19" s="11">
        <f t="shared" si="1"/>
        <v>14.107104217125304</v>
      </c>
      <c r="E19" s="11">
        <f t="shared" si="2"/>
        <v>0.99999999999489098</v>
      </c>
      <c r="F19" s="11">
        <f t="shared" si="3"/>
        <v>18970632.423065752</v>
      </c>
      <c r="G19" s="11"/>
      <c r="I19" s="11">
        <v>9</v>
      </c>
      <c r="J19" s="11">
        <f t="shared" si="10"/>
        <v>271501.83137822885</v>
      </c>
      <c r="K19" s="17">
        <f t="shared" si="4"/>
        <v>111.39445747837024</v>
      </c>
      <c r="L19" s="11">
        <f t="shared" si="5"/>
        <v>14.107104217125304</v>
      </c>
      <c r="M19" s="11">
        <f t="shared" si="6"/>
        <v>0.99999999999489098</v>
      </c>
      <c r="N19" s="11">
        <f t="shared" si="7"/>
        <v>3830104.6303734872</v>
      </c>
      <c r="O19" s="11"/>
    </row>
    <row r="20" spans="1:15" x14ac:dyDescent="0.35">
      <c r="A20" s="11">
        <v>10</v>
      </c>
      <c r="B20" s="36">
        <f t="shared" si="8"/>
        <v>1100994.2176032623</v>
      </c>
      <c r="C20" s="17">
        <f t="shared" si="0"/>
        <v>115.44333349045775</v>
      </c>
      <c r="D20" s="11">
        <f t="shared" si="1"/>
        <v>15.746865752733971</v>
      </c>
      <c r="E20" s="11">
        <f t="shared" si="2"/>
        <v>0.99999999999990652</v>
      </c>
      <c r="F20" s="11">
        <f t="shared" si="3"/>
        <v>17337208.139133323</v>
      </c>
      <c r="G20" s="11"/>
      <c r="I20" s="11">
        <v>10</v>
      </c>
      <c r="J20" s="11">
        <f t="shared" si="10"/>
        <v>149003.36428121023</v>
      </c>
      <c r="K20" s="17">
        <f t="shared" si="4"/>
        <v>115.44333349045775</v>
      </c>
      <c r="L20" s="11">
        <f t="shared" si="5"/>
        <v>15.746865752733971</v>
      </c>
      <c r="M20" s="11">
        <f t="shared" si="6"/>
        <v>0.99999999999990652</v>
      </c>
      <c r="N20" s="11">
        <f t="shared" si="7"/>
        <v>2346335.9740417143</v>
      </c>
      <c r="O20" s="11"/>
    </row>
    <row r="21" spans="1:15" x14ac:dyDescent="0.35">
      <c r="A21" s="11">
        <v>11</v>
      </c>
      <c r="B21" s="36">
        <f t="shared" si="8"/>
        <v>901417.82491282234</v>
      </c>
      <c r="C21" s="17">
        <f t="shared" si="0"/>
        <v>118.82487801071873</v>
      </c>
      <c r="D21" s="11">
        <f t="shared" si="1"/>
        <v>17.211263813643495</v>
      </c>
      <c r="E21" s="11">
        <f t="shared" si="2"/>
        <v>0.99999999999999822</v>
      </c>
      <c r="F21" s="11">
        <f>E21*D21*B21</f>
        <v>15514539.990895258</v>
      </c>
      <c r="G21" s="11"/>
      <c r="I21" s="11">
        <v>11</v>
      </c>
      <c r="J21" s="11">
        <f t="shared" si="10"/>
        <v>81774.780134685207</v>
      </c>
      <c r="K21" s="17">
        <f t="shared" si="4"/>
        <v>118.82487801071873</v>
      </c>
      <c r="L21" s="11">
        <f t="shared" si="5"/>
        <v>17.211263813643495</v>
      </c>
      <c r="M21" s="11">
        <f t="shared" si="6"/>
        <v>0.99999999999999822</v>
      </c>
      <c r="N21" s="11">
        <f>M21*L21*J21</f>
        <v>1407447.3142007578</v>
      </c>
      <c r="O21" s="11"/>
    </row>
    <row r="22" spans="1:15" x14ac:dyDescent="0.35">
      <c r="A22" s="11">
        <v>12</v>
      </c>
      <c r="B22" s="36">
        <f t="shared" si="8"/>
        <v>738018.49462879135</v>
      </c>
      <c r="C22" s="17">
        <f t="shared" si="0"/>
        <v>121.64907991474587</v>
      </c>
      <c r="D22" s="11">
        <f t="shared" si="1"/>
        <v>18.502620098786267</v>
      </c>
      <c r="E22" s="11">
        <f t="shared" si="2"/>
        <v>1</v>
      </c>
      <c r="F22" s="11">
        <f t="shared" si="3"/>
        <v>13655275.831994658</v>
      </c>
      <c r="G22" s="11"/>
      <c r="I22" s="11">
        <v>12</v>
      </c>
      <c r="J22" s="11">
        <f t="shared" si="10"/>
        <v>44878.950876945877</v>
      </c>
      <c r="K22" s="17">
        <f t="shared" si="4"/>
        <v>121.64907991474587</v>
      </c>
      <c r="L22" s="11">
        <f t="shared" si="5"/>
        <v>18.502620098786267</v>
      </c>
      <c r="M22" s="11">
        <f t="shared" si="6"/>
        <v>1</v>
      </c>
      <c r="N22" s="11">
        <f t="shared" ref="N22:N30" si="11">M22*L22*J22</f>
        <v>830378.17850822036</v>
      </c>
      <c r="O22" s="11"/>
    </row>
    <row r="23" spans="1:15" x14ac:dyDescent="0.35">
      <c r="A23" s="11">
        <v>13</v>
      </c>
      <c r="B23" s="36">
        <f t="shared" si="8"/>
        <v>604238.43789290881</v>
      </c>
      <c r="C23" s="17">
        <f t="shared" si="0"/>
        <v>124.00779982717653</v>
      </c>
      <c r="D23" s="11">
        <f t="shared" si="1"/>
        <v>19.630030159868934</v>
      </c>
      <c r="E23" s="11">
        <f t="shared" si="2"/>
        <v>1</v>
      </c>
      <c r="F23" s="11">
        <f t="shared" si="3"/>
        <v>11861218.759589892</v>
      </c>
      <c r="G23" s="11"/>
      <c r="I23" s="11">
        <v>13</v>
      </c>
      <c r="J23" s="11">
        <f t="shared" si="10"/>
        <v>24630.090456960108</v>
      </c>
      <c r="K23" s="17">
        <f t="shared" si="4"/>
        <v>124.00779982717653</v>
      </c>
      <c r="L23" s="11">
        <f t="shared" si="5"/>
        <v>19.630030159868934</v>
      </c>
      <c r="M23" s="11">
        <f t="shared" si="6"/>
        <v>1</v>
      </c>
      <c r="N23" s="11">
        <f t="shared" si="11"/>
        <v>483489.41851042694</v>
      </c>
      <c r="O23" s="11"/>
    </row>
    <row r="24" spans="1:15" x14ac:dyDescent="0.35">
      <c r="A24" s="11">
        <v>14</v>
      </c>
      <c r="B24" s="36">
        <f t="shared" si="8"/>
        <v>494708.59129472455</v>
      </c>
      <c r="C24" s="17">
        <f t="shared" si="0"/>
        <v>125.97775800097554</v>
      </c>
      <c r="D24" s="11">
        <f t="shared" si="1"/>
        <v>20.606449786004141</v>
      </c>
      <c r="E24" s="11">
        <f t="shared" si="2"/>
        <v>1</v>
      </c>
      <c r="F24" s="11">
        <f t="shared" si="3"/>
        <v>10194187.745219586</v>
      </c>
      <c r="G24" s="11"/>
      <c r="I24" s="11">
        <v>14</v>
      </c>
      <c r="J24" s="11">
        <f t="shared" si="10"/>
        <v>13517.280240828142</v>
      </c>
      <c r="K24" s="17">
        <f t="shared" si="4"/>
        <v>125.97775800097554</v>
      </c>
      <c r="L24" s="11">
        <f t="shared" si="5"/>
        <v>20.606449786004141</v>
      </c>
      <c r="M24" s="11">
        <f t="shared" si="6"/>
        <v>1</v>
      </c>
      <c r="N24" s="11">
        <f t="shared" si="11"/>
        <v>278543.15652597108</v>
      </c>
      <c r="O24" s="11"/>
    </row>
    <row r="25" spans="1:15" x14ac:dyDescent="0.35">
      <c r="A25" s="11">
        <v>15</v>
      </c>
      <c r="B25" s="36">
        <f t="shared" si="8"/>
        <v>405033.13750487735</v>
      </c>
      <c r="C25" s="17">
        <f t="shared" si="0"/>
        <v>127.62302973759236</v>
      </c>
      <c r="D25" s="11">
        <f t="shared" si="1"/>
        <v>21.446652520715421</v>
      </c>
      <c r="E25" s="11">
        <f t="shared" si="2"/>
        <v>1</v>
      </c>
      <c r="F25" s="11">
        <f t="shared" si="3"/>
        <v>8686604.9594422542</v>
      </c>
      <c r="G25" s="11"/>
      <c r="I25" s="11">
        <v>15</v>
      </c>
      <c r="J25" s="11">
        <f t="shared" si="10"/>
        <v>7418.4406845103476</v>
      </c>
      <c r="K25" s="17">
        <f t="shared" si="4"/>
        <v>127.62302973759236</v>
      </c>
      <c r="L25" s="11">
        <f t="shared" si="5"/>
        <v>21.446652520715421</v>
      </c>
      <c r="M25" s="11">
        <f t="shared" si="6"/>
        <v>1</v>
      </c>
      <c r="N25" s="11">
        <f t="shared" si="11"/>
        <v>159100.71960623169</v>
      </c>
      <c r="O25" s="11"/>
    </row>
    <row r="26" spans="1:15" x14ac:dyDescent="0.35">
      <c r="A26" s="11">
        <v>16</v>
      </c>
      <c r="B26" s="36">
        <f t="shared" si="8"/>
        <v>331613.08569090598</v>
      </c>
      <c r="C26" s="17">
        <f t="shared" si="0"/>
        <v>128.99712951458912</v>
      </c>
      <c r="D26" s="11">
        <f t="shared" si="1"/>
        <v>22.165859840133322</v>
      </c>
      <c r="E26" s="11">
        <f t="shared" si="2"/>
        <v>1</v>
      </c>
      <c r="F26" s="11">
        <f t="shared" si="3"/>
        <v>7350489.1785787428</v>
      </c>
      <c r="G26" s="11"/>
      <c r="I26" s="11">
        <v>16</v>
      </c>
      <c r="J26" s="11">
        <f t="shared" si="10"/>
        <v>4071.326569332613</v>
      </c>
      <c r="K26" s="17">
        <f t="shared" si="4"/>
        <v>128.99712951458912</v>
      </c>
      <c r="L26" s="11">
        <f t="shared" si="5"/>
        <v>22.165859840133322</v>
      </c>
      <c r="M26" s="11">
        <f t="shared" si="6"/>
        <v>1</v>
      </c>
      <c r="N26" s="11">
        <f t="shared" si="11"/>
        <v>90244.454099237541</v>
      </c>
      <c r="O26" s="11"/>
    </row>
    <row r="27" spans="1:15" x14ac:dyDescent="0.35">
      <c r="A27" s="11">
        <v>17</v>
      </c>
      <c r="B27" s="36">
        <f t="shared" si="8"/>
        <v>271501.83137822879</v>
      </c>
      <c r="C27" s="17">
        <f t="shared" si="0"/>
        <v>130.14475160954174</v>
      </c>
      <c r="D27" s="11">
        <f t="shared" si="1"/>
        <v>22.77886859639565</v>
      </c>
      <c r="E27" s="11">
        <f t="shared" si="2"/>
        <v>1</v>
      </c>
      <c r="F27" s="11">
        <f t="shared" si="3"/>
        <v>6184504.5406454429</v>
      </c>
      <c r="G27" s="11"/>
      <c r="I27" s="11">
        <v>17</v>
      </c>
      <c r="J27" s="11">
        <f t="shared" si="10"/>
        <v>2234.3913955885109</v>
      </c>
      <c r="K27" s="17">
        <f t="shared" si="4"/>
        <v>130.14475160954174</v>
      </c>
      <c r="L27" s="11">
        <f t="shared" si="5"/>
        <v>22.77886859639565</v>
      </c>
      <c r="M27" s="11">
        <f t="shared" si="6"/>
        <v>1</v>
      </c>
      <c r="N27" s="11">
        <f t="shared" si="11"/>
        <v>50896.90799302778</v>
      </c>
      <c r="O27" s="11"/>
    </row>
    <row r="28" spans="1:15" x14ac:dyDescent="0.35">
      <c r="A28" s="11">
        <v>18</v>
      </c>
      <c r="B28" s="36">
        <f t="shared" si="8"/>
        <v>222286.89886634849</v>
      </c>
      <c r="C28" s="17">
        <f t="shared" si="0"/>
        <v>131.10322383613794</v>
      </c>
      <c r="D28" s="11">
        <f t="shared" si="1"/>
        <v>23.299533361729644</v>
      </c>
      <c r="E28" s="11">
        <f t="shared" si="2"/>
        <v>1</v>
      </c>
      <c r="F28" s="11">
        <f t="shared" si="3"/>
        <v>5179181.0160119105</v>
      </c>
      <c r="G28" s="11"/>
      <c r="I28" s="11">
        <v>18</v>
      </c>
      <c r="J28" s="11">
        <f t="shared" si="10"/>
        <v>1226.2599974873456</v>
      </c>
      <c r="K28" s="17">
        <f t="shared" si="4"/>
        <v>131.10322383613794</v>
      </c>
      <c r="L28" s="11">
        <f t="shared" si="5"/>
        <v>23.299533361729644</v>
      </c>
      <c r="M28" s="11">
        <f t="shared" si="6"/>
        <v>1</v>
      </c>
      <c r="N28" s="11">
        <f t="shared" si="11"/>
        <v>28571.285721610919</v>
      </c>
      <c r="O28" s="11"/>
    </row>
    <row r="29" spans="1:15" x14ac:dyDescent="0.35">
      <c r="A29" s="11">
        <v>19</v>
      </c>
      <c r="B29" s="36">
        <f t="shared" si="8"/>
        <v>181993.12010821467</v>
      </c>
      <c r="C29" s="17">
        <f t="shared" si="0"/>
        <v>131.90372167701844</v>
      </c>
      <c r="D29" s="11">
        <f t="shared" si="1"/>
        <v>23.740494025013021</v>
      </c>
      <c r="E29" s="11">
        <f t="shared" si="2"/>
        <v>1</v>
      </c>
      <c r="F29" s="11">
        <f t="shared" si="3"/>
        <v>4320606.5805225475</v>
      </c>
      <c r="G29" s="11" t="s">
        <v>132</v>
      </c>
      <c r="I29" s="11">
        <v>19</v>
      </c>
      <c r="J29" s="11">
        <f t="shared" si="10"/>
        <v>672.9857554976868</v>
      </c>
      <c r="K29" s="17">
        <f t="shared" si="4"/>
        <v>131.90372167701844</v>
      </c>
      <c r="L29" s="11">
        <f t="shared" si="5"/>
        <v>23.740494025013021</v>
      </c>
      <c r="M29" s="11">
        <f t="shared" si="6"/>
        <v>1</v>
      </c>
      <c r="N29" s="11">
        <f t="shared" si="11"/>
        <v>15977.014307311707</v>
      </c>
      <c r="O29" s="11" t="s">
        <v>132</v>
      </c>
    </row>
    <row r="30" spans="1:15" x14ac:dyDescent="0.35">
      <c r="A30" s="11">
        <v>20</v>
      </c>
      <c r="B30" s="36">
        <f t="shared" si="8"/>
        <v>149003.3642812102</v>
      </c>
      <c r="C30" s="17">
        <f t="shared" si="0"/>
        <v>132.57228230451824</v>
      </c>
      <c r="D30" s="11">
        <f t="shared" si="1"/>
        <v>24.113067259534564</v>
      </c>
      <c r="E30" s="11">
        <f t="shared" si="2"/>
        <v>1</v>
      </c>
      <c r="F30" s="11">
        <f t="shared" si="3"/>
        <v>3592928.1448097518</v>
      </c>
      <c r="G30" s="11">
        <f>SUM(F11:F30)/1000</f>
        <v>228976.87020633707</v>
      </c>
      <c r="I30" s="11">
        <v>20</v>
      </c>
      <c r="J30" s="11">
        <f t="shared" si="10"/>
        <v>369.34241354265993</v>
      </c>
      <c r="K30" s="17">
        <f t="shared" si="4"/>
        <v>132.57228230451824</v>
      </c>
      <c r="L30" s="11">
        <f t="shared" si="5"/>
        <v>24.113067259534564</v>
      </c>
      <c r="M30" s="11">
        <f t="shared" si="6"/>
        <v>1</v>
      </c>
      <c r="N30" s="11">
        <f t="shared" si="11"/>
        <v>8905.9784595529891</v>
      </c>
      <c r="O30" s="11">
        <f>SUM(N11:N30)/1000</f>
        <v>83396.884938960313</v>
      </c>
    </row>
    <row r="32" spans="1:15" x14ac:dyDescent="0.35">
      <c r="G32">
        <f>8137/G30</f>
        <v>3.5536340385242997E-2</v>
      </c>
      <c r="O32" s="17">
        <f>8137/O30</f>
        <v>9.7569591549559881E-2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F13" sqref="F13"/>
    </sheetView>
  </sheetViews>
  <sheetFormatPr defaultRowHeight="14.5" x14ac:dyDescent="0.35"/>
  <sheetData>
    <row r="1" spans="1:3" x14ac:dyDescent="0.35">
      <c r="A1" t="s">
        <v>5</v>
      </c>
      <c r="B1">
        <v>2</v>
      </c>
    </row>
    <row r="2" spans="1:3" x14ac:dyDescent="0.35">
      <c r="A2" t="s">
        <v>103</v>
      </c>
      <c r="B2">
        <v>0.4</v>
      </c>
    </row>
    <row r="3" spans="1:3" x14ac:dyDescent="0.35">
      <c r="A3">
        <v>1983</v>
      </c>
      <c r="B3">
        <f>1</f>
        <v>1</v>
      </c>
      <c r="C3">
        <f t="shared" ref="C3:C11" si="0">B3/$B$36*$C$36</f>
        <v>0.20809149157560503</v>
      </c>
    </row>
    <row r="4" spans="1:3" x14ac:dyDescent="0.35">
      <c r="A4">
        <v>1984</v>
      </c>
      <c r="B4">
        <f>B3*(1+$B$1/100)</f>
        <v>1.02</v>
      </c>
      <c r="C4">
        <f t="shared" si="0"/>
        <v>0.21225332140711708</v>
      </c>
    </row>
    <row r="5" spans="1:3" x14ac:dyDescent="0.35">
      <c r="A5">
        <v>1985</v>
      </c>
      <c r="B5">
        <f>B4*(1+$B$1/100)</f>
        <v>1.0404</v>
      </c>
      <c r="C5">
        <f t="shared" si="0"/>
        <v>0.21649838783525943</v>
      </c>
    </row>
    <row r="6" spans="1:3" x14ac:dyDescent="0.35">
      <c r="A6">
        <v>1986</v>
      </c>
      <c r="B6">
        <f t="shared" ref="B6:B26" si="1">B5*(1+$B$1/100)</f>
        <v>1.0612079999999999</v>
      </c>
      <c r="C6">
        <f t="shared" si="0"/>
        <v>0.22082835559196462</v>
      </c>
    </row>
    <row r="7" spans="1:3" x14ac:dyDescent="0.35">
      <c r="A7">
        <v>1987</v>
      </c>
      <c r="B7">
        <f t="shared" si="1"/>
        <v>1.08243216</v>
      </c>
      <c r="C7">
        <f t="shared" si="0"/>
        <v>0.22524492270380392</v>
      </c>
    </row>
    <row r="8" spans="1:3" x14ac:dyDescent="0.35">
      <c r="A8">
        <v>1988</v>
      </c>
      <c r="B8">
        <f t="shared" si="1"/>
        <v>1.1040808032</v>
      </c>
      <c r="C8">
        <f t="shared" si="0"/>
        <v>0.22974982115788001</v>
      </c>
    </row>
    <row r="9" spans="1:3" x14ac:dyDescent="0.35">
      <c r="A9">
        <v>1989</v>
      </c>
      <c r="B9">
        <f t="shared" si="1"/>
        <v>1.1261624192640001</v>
      </c>
      <c r="C9">
        <f t="shared" si="0"/>
        <v>0.23434481758103762</v>
      </c>
    </row>
    <row r="10" spans="1:3" x14ac:dyDescent="0.35">
      <c r="A10">
        <v>1990</v>
      </c>
      <c r="B10">
        <f t="shared" si="1"/>
        <v>1.14868566764928</v>
      </c>
      <c r="C10">
        <f t="shared" si="0"/>
        <v>0.23903171393265837</v>
      </c>
    </row>
    <row r="11" spans="1:3" x14ac:dyDescent="0.35">
      <c r="A11">
        <v>1991</v>
      </c>
      <c r="B11">
        <f t="shared" si="1"/>
        <v>1.1716593810022657</v>
      </c>
      <c r="C11">
        <f t="shared" si="0"/>
        <v>0.24381234821131154</v>
      </c>
    </row>
    <row r="12" spans="1:3" x14ac:dyDescent="0.35">
      <c r="A12">
        <v>1992</v>
      </c>
      <c r="B12">
        <f t="shared" si="1"/>
        <v>1.1950925686223111</v>
      </c>
      <c r="C12">
        <f>B12/$B$36*$C$36</f>
        <v>0.24868859517553776</v>
      </c>
    </row>
    <row r="13" spans="1:3" x14ac:dyDescent="0.35">
      <c r="A13">
        <v>1993</v>
      </c>
      <c r="B13">
        <f t="shared" si="1"/>
        <v>1.2189944199947573</v>
      </c>
      <c r="C13">
        <f t="shared" ref="C13:C34" si="2">B13/$B$36*$C$36</f>
        <v>0.25366236707904855</v>
      </c>
    </row>
    <row r="14" spans="1:3" x14ac:dyDescent="0.35">
      <c r="A14">
        <v>1994</v>
      </c>
      <c r="B14">
        <f t="shared" si="1"/>
        <v>1.2433743083946525</v>
      </c>
      <c r="C14">
        <f t="shared" si="2"/>
        <v>0.25873561442062953</v>
      </c>
    </row>
    <row r="15" spans="1:3" x14ac:dyDescent="0.35">
      <c r="A15">
        <v>1995</v>
      </c>
      <c r="B15">
        <f t="shared" si="1"/>
        <v>1.2682417945625455</v>
      </c>
      <c r="C15">
        <f t="shared" si="2"/>
        <v>0.26391032670904208</v>
      </c>
    </row>
    <row r="16" spans="1:3" x14ac:dyDescent="0.35">
      <c r="A16">
        <v>1996</v>
      </c>
      <c r="B16">
        <f t="shared" si="1"/>
        <v>1.2936066304537963</v>
      </c>
      <c r="C16">
        <f t="shared" si="2"/>
        <v>0.26918853324322289</v>
      </c>
    </row>
    <row r="17" spans="1:3" x14ac:dyDescent="0.35">
      <c r="A17">
        <v>1997</v>
      </c>
      <c r="B17">
        <f t="shared" si="1"/>
        <v>1.3194787630628724</v>
      </c>
      <c r="C17">
        <f t="shared" si="2"/>
        <v>0.2745723039080874</v>
      </c>
    </row>
    <row r="18" spans="1:3" x14ac:dyDescent="0.35">
      <c r="A18">
        <v>1998</v>
      </c>
      <c r="B18">
        <f t="shared" si="1"/>
        <v>1.3458683383241299</v>
      </c>
      <c r="C18">
        <f t="shared" si="2"/>
        <v>0.28006374998624917</v>
      </c>
    </row>
    <row r="19" spans="1:3" x14ac:dyDescent="0.35">
      <c r="A19">
        <v>1999</v>
      </c>
      <c r="B19">
        <f t="shared" si="1"/>
        <v>1.3727857050906125</v>
      </c>
      <c r="C19">
        <f t="shared" si="2"/>
        <v>0.28566502498597418</v>
      </c>
    </row>
    <row r="20" spans="1:3" x14ac:dyDescent="0.35">
      <c r="A20">
        <v>2000</v>
      </c>
      <c r="B20">
        <f t="shared" si="1"/>
        <v>1.4002414191924248</v>
      </c>
      <c r="C20">
        <f t="shared" si="2"/>
        <v>0.29137832548569365</v>
      </c>
    </row>
    <row r="21" spans="1:3" x14ac:dyDescent="0.35">
      <c r="A21">
        <v>2001</v>
      </c>
      <c r="B21">
        <f t="shared" si="1"/>
        <v>1.4282462475762734</v>
      </c>
      <c r="C21">
        <f t="shared" si="2"/>
        <v>0.29720589199540753</v>
      </c>
    </row>
    <row r="22" spans="1:3" x14ac:dyDescent="0.35">
      <c r="A22">
        <v>2002</v>
      </c>
      <c r="B22">
        <f t="shared" si="1"/>
        <v>1.4568111725277988</v>
      </c>
      <c r="C22">
        <f t="shared" si="2"/>
        <v>0.3031500098353157</v>
      </c>
    </row>
    <row r="23" spans="1:3" x14ac:dyDescent="0.35">
      <c r="A23">
        <v>2003</v>
      </c>
      <c r="B23">
        <f t="shared" si="1"/>
        <v>1.4859473959783549</v>
      </c>
      <c r="C23">
        <f t="shared" si="2"/>
        <v>0.30921301003202206</v>
      </c>
    </row>
    <row r="24" spans="1:3" x14ac:dyDescent="0.35">
      <c r="A24">
        <v>2004</v>
      </c>
      <c r="B24">
        <f t="shared" si="1"/>
        <v>1.5156663438979221</v>
      </c>
      <c r="C24">
        <f t="shared" si="2"/>
        <v>0.31539727023266245</v>
      </c>
    </row>
    <row r="25" spans="1:3" x14ac:dyDescent="0.35">
      <c r="A25">
        <v>2005</v>
      </c>
      <c r="B25">
        <f t="shared" si="1"/>
        <v>1.5459796707758806</v>
      </c>
      <c r="C25">
        <f t="shared" si="2"/>
        <v>0.32170521563731574</v>
      </c>
    </row>
    <row r="26" spans="1:3" x14ac:dyDescent="0.35">
      <c r="A26">
        <v>2006</v>
      </c>
      <c r="B26">
        <f t="shared" si="1"/>
        <v>1.5768992641913981</v>
      </c>
      <c r="C26">
        <f t="shared" si="2"/>
        <v>0.32813931995006207</v>
      </c>
    </row>
    <row r="27" spans="1:3" x14ac:dyDescent="0.35">
      <c r="A27">
        <v>2007</v>
      </c>
      <c r="B27">
        <f>B26*(1+$B$1/100)</f>
        <v>1.6084372494752261</v>
      </c>
      <c r="C27">
        <f t="shared" si="2"/>
        <v>0.33470210634906328</v>
      </c>
    </row>
    <row r="28" spans="1:3" x14ac:dyDescent="0.35">
      <c r="A28">
        <v>2008</v>
      </c>
      <c r="B28">
        <f>B27*(1+$B$1/100)</f>
        <v>1.6406059944647307</v>
      </c>
      <c r="C28">
        <f t="shared" si="2"/>
        <v>0.3413961484760446</v>
      </c>
    </row>
    <row r="29" spans="1:3" x14ac:dyDescent="0.35">
      <c r="A29">
        <v>2009</v>
      </c>
      <c r="B29">
        <f t="shared" ref="B29:B36" si="3">B28*(1+$B$1/100)</f>
        <v>1.6734181143540252</v>
      </c>
      <c r="C29">
        <f t="shared" si="2"/>
        <v>0.34822407144556544</v>
      </c>
    </row>
    <row r="30" spans="1:3" x14ac:dyDescent="0.35">
      <c r="A30">
        <v>2010</v>
      </c>
      <c r="B30">
        <f t="shared" si="3"/>
        <v>1.7068864766411058</v>
      </c>
      <c r="C30">
        <f t="shared" si="2"/>
        <v>0.35518855287447676</v>
      </c>
    </row>
    <row r="31" spans="1:3" x14ac:dyDescent="0.35">
      <c r="A31">
        <v>2011</v>
      </c>
      <c r="B31">
        <f t="shared" si="3"/>
        <v>1.7410242061739281</v>
      </c>
      <c r="C31">
        <f t="shared" si="2"/>
        <v>0.36229232393196631</v>
      </c>
    </row>
    <row r="32" spans="1:3" x14ac:dyDescent="0.35">
      <c r="A32">
        <v>2012</v>
      </c>
      <c r="B32">
        <f t="shared" si="3"/>
        <v>1.7758446902974065</v>
      </c>
      <c r="C32">
        <f t="shared" si="2"/>
        <v>0.36953817041060566</v>
      </c>
    </row>
    <row r="33" spans="1:3" x14ac:dyDescent="0.35">
      <c r="A33">
        <v>2013</v>
      </c>
      <c r="B33">
        <f t="shared" si="3"/>
        <v>1.8113615841033548</v>
      </c>
      <c r="C33">
        <f t="shared" si="2"/>
        <v>0.37692893381881776</v>
      </c>
    </row>
    <row r="34" spans="1:3" x14ac:dyDescent="0.35">
      <c r="A34">
        <v>2014</v>
      </c>
      <c r="B34">
        <f t="shared" si="3"/>
        <v>1.8475888157854219</v>
      </c>
      <c r="C34">
        <f t="shared" si="2"/>
        <v>0.38446751249519417</v>
      </c>
    </row>
    <row r="35" spans="1:3" x14ac:dyDescent="0.35">
      <c r="A35">
        <v>2015</v>
      </c>
      <c r="B35">
        <f t="shared" si="3"/>
        <v>1.8845405921011305</v>
      </c>
      <c r="C35">
        <f>B35/$B$36*$C$36</f>
        <v>0.39215686274509803</v>
      </c>
    </row>
    <row r="36" spans="1:3" x14ac:dyDescent="0.35">
      <c r="A36">
        <v>2016</v>
      </c>
      <c r="B36">
        <f t="shared" si="3"/>
        <v>1.9222314039431532</v>
      </c>
      <c r="C36">
        <f>B2</f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Stock</vt:lpstr>
      <vt:lpstr>Fleet</vt:lpstr>
      <vt:lpstr>Obs</vt:lpstr>
      <vt:lpstr>Imp</vt:lpstr>
      <vt:lpstr>OM</vt:lpstr>
      <vt:lpstr>SR</vt:lpstr>
      <vt:lpstr>Growth</vt:lpstr>
      <vt:lpstr>SSB0</vt:lpstr>
      <vt:lpstr>M calcs</vt:lpstr>
      <vt:lpstr>Length at age</vt:lpstr>
      <vt:lpstr>SR!hs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Windows User</cp:lastModifiedBy>
  <dcterms:created xsi:type="dcterms:W3CDTF">2017-06-29T22:07:42Z</dcterms:created>
  <dcterms:modified xsi:type="dcterms:W3CDTF">2019-03-05T18:20:25Z</dcterms:modified>
</cp:coreProperties>
</file>