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GitHub\DLMDev\Case_Studies\Haddock_4X5Y_DFO\"/>
    </mc:Choice>
  </mc:AlternateContent>
  <bookViews>
    <workbookView xWindow="0" yWindow="0" windowWidth="23040" windowHeight="8980" tabRatio="736" activeTab="4"/>
  </bookViews>
  <sheets>
    <sheet name="Stock" sheetId="1" r:id="rId1"/>
    <sheet name="Fleet" sheetId="15" r:id="rId2"/>
    <sheet name="Obs" sheetId="16" r:id="rId3"/>
    <sheet name="Imp" sheetId="17" r:id="rId4"/>
    <sheet name="OM" sheetId="13" r:id="rId5"/>
    <sheet name="SR" sheetId="21" r:id="rId6"/>
    <sheet name="Growth" sheetId="22" r:id="rId7"/>
    <sheet name="SSB0" sheetId="19" r:id="rId8"/>
    <sheet name="SR VPA" sheetId="25" r:id="rId9"/>
  </sheets>
  <definedNames>
    <definedName name="a50mat" localSheetId="5">#REF!</definedName>
    <definedName name="a50mat">#REF!</definedName>
    <definedName name="a50mat_04" localSheetId="5">#REF!</definedName>
    <definedName name="a50mat_04">#REF!</definedName>
    <definedName name="alw" localSheetId="5">#REF!</definedName>
    <definedName name="alw">#REF!</definedName>
    <definedName name="alw_co" localSheetId="5">#REF!</definedName>
    <definedName name="alw_co">#REF!</definedName>
    <definedName name="asdmat" localSheetId="5">#REF!</definedName>
    <definedName name="asdmat">#REF!</definedName>
    <definedName name="asdmat_04" localSheetId="5">#REF!</definedName>
    <definedName name="asdmat_04">#REF!</definedName>
    <definedName name="blw" localSheetId="5">#REF!</definedName>
    <definedName name="blw">#REF!</definedName>
    <definedName name="blw_co" localSheetId="5">#REF!</definedName>
    <definedName name="blw_co">#REF!</definedName>
    <definedName name="hs" localSheetId="5">SR!$E$4</definedName>
    <definedName name="hs">#REF!</definedName>
    <definedName name="k" localSheetId="5">#REF!</definedName>
    <definedName name="k">#REF!</definedName>
    <definedName name="linf" localSheetId="5">#REF!</definedName>
    <definedName name="linf">#REF!</definedName>
    <definedName name="lmat50" localSheetId="5">#REF!</definedName>
    <definedName name="lmat50">#REF!</definedName>
    <definedName name="lmatsd" localSheetId="5">#REF!</definedName>
    <definedName name="lmatsd">#REF!</definedName>
    <definedName name="solver_adj" localSheetId="6" hidden="1">Growth!$B$6:$C$6</definedName>
    <definedName name="solver_adj" localSheetId="5" hidden="1">SR!$C$4:$E$4</definedName>
    <definedName name="solver_cvg" localSheetId="6" hidden="1">0.0001</definedName>
    <definedName name="solver_cvg" localSheetId="5" hidden="1">0.0001</definedName>
    <definedName name="solver_drv" localSheetId="6" hidden="1">1</definedName>
    <definedName name="solver_drv" localSheetId="5" hidden="1">2</definedName>
    <definedName name="solver_eng" localSheetId="6" hidden="1">1</definedName>
    <definedName name="solver_eng" localSheetId="5" hidden="1">1</definedName>
    <definedName name="solver_est" localSheetId="6" hidden="1">1</definedName>
    <definedName name="solver_est" localSheetId="5" hidden="1">1</definedName>
    <definedName name="solver_itr" localSheetId="6" hidden="1">2147483647</definedName>
    <definedName name="solver_itr" localSheetId="5" hidden="1">2147483647</definedName>
    <definedName name="solver_lhs1" localSheetId="6" hidden="1">Growth!#REF!</definedName>
    <definedName name="solver_lhs1" localSheetId="5" hidden="1">SR!$C$4</definedName>
    <definedName name="solver_lhs2" localSheetId="6" hidden="1">Growth!$B$6</definedName>
    <definedName name="solver_lhs2" localSheetId="5" hidden="1">SR!$C$4</definedName>
    <definedName name="solver_lhs3" localSheetId="6" hidden="1">Growth!$C$6</definedName>
    <definedName name="solver_lhs3" localSheetId="5" hidden="1">SR!$D$4</definedName>
    <definedName name="solver_lhs4" localSheetId="6" hidden="1">Growth!$C$6</definedName>
    <definedName name="solver_lhs4" localSheetId="5" hidden="1">SR!$D$4</definedName>
    <definedName name="solver_lhs5" localSheetId="5" hidden="1">SR!$E$4</definedName>
    <definedName name="solver_lhs6" localSheetId="5" hidden="1">SR!$E$4</definedName>
    <definedName name="solver_mip" localSheetId="6" hidden="1">2147483647</definedName>
    <definedName name="solver_mip" localSheetId="5" hidden="1">2147483647</definedName>
    <definedName name="solver_mni" localSheetId="6" hidden="1">30</definedName>
    <definedName name="solver_mni" localSheetId="5" hidden="1">30</definedName>
    <definedName name="solver_mrt" localSheetId="6" hidden="1">0.075</definedName>
    <definedName name="solver_mrt" localSheetId="5" hidden="1">0.075</definedName>
    <definedName name="solver_msl" localSheetId="6" hidden="1">2</definedName>
    <definedName name="solver_msl" localSheetId="5" hidden="1">2</definedName>
    <definedName name="solver_neg" localSheetId="6" hidden="1">1</definedName>
    <definedName name="solver_neg" localSheetId="5" hidden="1">1</definedName>
    <definedName name="solver_nod" localSheetId="6" hidden="1">2147483647</definedName>
    <definedName name="solver_nod" localSheetId="5" hidden="1">2147483647</definedName>
    <definedName name="solver_num" localSheetId="6" hidden="1">4</definedName>
    <definedName name="solver_num" localSheetId="5" hidden="1">6</definedName>
    <definedName name="solver_nwt" localSheetId="6" hidden="1">1</definedName>
    <definedName name="solver_nwt" localSheetId="5" hidden="1">1</definedName>
    <definedName name="solver_opt" localSheetId="6" hidden="1">Growth!$D$14</definedName>
    <definedName name="solver_opt" localSheetId="5" hidden="1">SR!$E$5</definedName>
    <definedName name="solver_pre" localSheetId="6" hidden="1">0.000001</definedName>
    <definedName name="solver_pre" localSheetId="5" hidden="1">0.000001</definedName>
    <definedName name="solver_rbv" localSheetId="6" hidden="1">1</definedName>
    <definedName name="solver_rbv" localSheetId="5" hidden="1">2</definedName>
    <definedName name="solver_rel1" localSheetId="6" hidden="1">1</definedName>
    <definedName name="solver_rel1" localSheetId="5" hidden="1">1</definedName>
    <definedName name="solver_rel2" localSheetId="6" hidden="1">3</definedName>
    <definedName name="solver_rel2" localSheetId="5" hidden="1">3</definedName>
    <definedName name="solver_rel3" localSheetId="6" hidden="1">1</definedName>
    <definedName name="solver_rel3" localSheetId="5" hidden="1">1</definedName>
    <definedName name="solver_rel4" localSheetId="6" hidden="1">3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6" hidden="1">0</definedName>
    <definedName name="solver_rhs1" localSheetId="5" hidden="1">SR!$C$3</definedName>
    <definedName name="solver_rhs2" localSheetId="6" hidden="1">0.05</definedName>
    <definedName name="solver_rhs2" localSheetId="5" hidden="1">SR!$C$2</definedName>
    <definedName name="solver_rhs3" localSheetId="6" hidden="1">250</definedName>
    <definedName name="solver_rhs3" localSheetId="5" hidden="1">SR!$D$3</definedName>
    <definedName name="solver_rhs4" localSheetId="6" hidden="1">95</definedName>
    <definedName name="solver_rhs4" localSheetId="5" hidden="1">SR!$D$2</definedName>
    <definedName name="solver_rhs5" localSheetId="5" hidden="1">SR!$E$3</definedName>
    <definedName name="solver_rhs6" localSheetId="5" hidden="1">SR!$E$2</definedName>
    <definedName name="solver_rlx" localSheetId="6" hidden="1">2</definedName>
    <definedName name="solver_rlx" localSheetId="5" hidden="1">2</definedName>
    <definedName name="solver_rsd" localSheetId="6" hidden="1">0</definedName>
    <definedName name="solver_rsd" localSheetId="5" hidden="1">0</definedName>
    <definedName name="solver_scl" localSheetId="6" hidden="1">1</definedName>
    <definedName name="solver_scl" localSheetId="5" hidden="1">1</definedName>
    <definedName name="solver_sho" localSheetId="6" hidden="1">2</definedName>
    <definedName name="solver_sho" localSheetId="5" hidden="1">2</definedName>
    <definedName name="solver_ssz" localSheetId="6" hidden="1">100</definedName>
    <definedName name="solver_ssz" localSheetId="5" hidden="1">100</definedName>
    <definedName name="solver_tim" localSheetId="6" hidden="1">2147483647</definedName>
    <definedName name="solver_tim" localSheetId="5" hidden="1">2147483647</definedName>
    <definedName name="solver_tol" localSheetId="6" hidden="1">0.01</definedName>
    <definedName name="solver_tol" localSheetId="5" hidden="1">0.01</definedName>
    <definedName name="solver_typ" localSheetId="6" hidden="1">2</definedName>
    <definedName name="solver_typ" localSheetId="5" hidden="1">2</definedName>
    <definedName name="solver_val" localSheetId="6" hidden="1">0</definedName>
    <definedName name="solver_val" localSheetId="5" hidden="1">0</definedName>
    <definedName name="solver_ver" localSheetId="6" hidden="1">3</definedName>
    <definedName name="solver_ver" localSheetId="5" hidden="1">3</definedName>
    <definedName name="t0" localSheetId="5">#REF!</definedName>
    <definedName name="t0">#REF!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9" l="1"/>
  <c r="H33" i="19"/>
  <c r="C13" i="19"/>
  <c r="C14" i="19" s="1"/>
  <c r="C15" i="19" s="1"/>
  <c r="C16" i="19" s="1"/>
  <c r="C17" i="19" s="1"/>
  <c r="C18" i="19" s="1"/>
  <c r="C19" i="19" s="1"/>
  <c r="C20" i="19" s="1"/>
  <c r="C21" i="19" s="1"/>
  <c r="C22" i="19" s="1"/>
  <c r="C23" i="19" s="1"/>
  <c r="C24" i="19" s="1"/>
  <c r="C25" i="19" s="1"/>
  <c r="C26" i="19" s="1"/>
  <c r="C27" i="19" s="1"/>
  <c r="C28" i="19" s="1"/>
  <c r="C29" i="19" s="1"/>
  <c r="C30" i="19" s="1"/>
  <c r="C12" i="19"/>
  <c r="D14" i="19"/>
  <c r="B9" i="19" l="1"/>
  <c r="B8" i="19"/>
  <c r="B29" i="1"/>
  <c r="C14" i="1"/>
  <c r="B14" i="1"/>
  <c r="H2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C6" i="1"/>
  <c r="C8" i="21" l="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7" i="21"/>
  <c r="H4" i="22"/>
  <c r="G5" i="22"/>
  <c r="G4" i="22"/>
  <c r="G3" i="22"/>
  <c r="J5" i="22"/>
  <c r="I5" i="22"/>
  <c r="H5" i="22"/>
  <c r="J4" i="22"/>
  <c r="I4" i="22"/>
  <c r="I3" i="22"/>
  <c r="J3" i="22"/>
  <c r="H3" i="22"/>
  <c r="B15" i="1" l="1"/>
  <c r="C15" i="1"/>
  <c r="B2" i="19" l="1"/>
  <c r="J2" i="19" s="1"/>
  <c r="J7" i="19"/>
  <c r="I7" i="19"/>
  <c r="F11" i="19"/>
  <c r="C3" i="21"/>
  <c r="J5" i="19" l="1"/>
  <c r="C2" i="21"/>
  <c r="D2" i="21"/>
  <c r="D3" i="21"/>
  <c r="E34" i="21"/>
  <c r="F34" i="21" s="1"/>
  <c r="E35" i="21"/>
  <c r="F35" i="21" s="1"/>
  <c r="G35" i="21" s="1"/>
  <c r="E36" i="21"/>
  <c r="F36" i="21" s="1"/>
  <c r="G36" i="21" s="1"/>
  <c r="E37" i="21"/>
  <c r="F37" i="21" s="1"/>
  <c r="E7" i="21"/>
  <c r="D12" i="19" l="1"/>
  <c r="E12" i="19" s="1"/>
  <c r="D13" i="19"/>
  <c r="E13" i="19" s="1"/>
  <c r="D21" i="19"/>
  <c r="E21" i="19" s="1"/>
  <c r="D29" i="19"/>
  <c r="E29" i="19" s="1"/>
  <c r="D23" i="19"/>
  <c r="D22" i="19"/>
  <c r="E22" i="19" s="1"/>
  <c r="D30" i="19"/>
  <c r="E30" i="19" s="1"/>
  <c r="D15" i="19"/>
  <c r="E15" i="19" s="1"/>
  <c r="D11" i="19"/>
  <c r="E11" i="19" s="1"/>
  <c r="G11" i="19" s="1"/>
  <c r="D16" i="19"/>
  <c r="E16" i="19" s="1"/>
  <c r="D20" i="19"/>
  <c r="E20" i="19" s="1"/>
  <c r="D18" i="19"/>
  <c r="E18" i="19" s="1"/>
  <c r="D24" i="19"/>
  <c r="E24" i="19" s="1"/>
  <c r="D17" i="19"/>
  <c r="E17" i="19" s="1"/>
  <c r="D25" i="19"/>
  <c r="E25" i="19" s="1"/>
  <c r="J6" i="19"/>
  <c r="D26" i="19"/>
  <c r="E26" i="19" s="1"/>
  <c r="D19" i="19"/>
  <c r="E19" i="19" s="1"/>
  <c r="D27" i="19"/>
  <c r="E27" i="19" s="1"/>
  <c r="D28" i="19"/>
  <c r="E28" i="19" s="1"/>
  <c r="H37" i="21"/>
  <c r="G37" i="21"/>
  <c r="G34" i="21"/>
  <c r="H34" i="21"/>
  <c r="H36" i="21"/>
  <c r="H35" i="21"/>
  <c r="N30" i="19"/>
  <c r="N29" i="19"/>
  <c r="N28" i="19"/>
  <c r="N27" i="19"/>
  <c r="N26" i="19"/>
  <c r="N25" i="19"/>
  <c r="N24" i="19"/>
  <c r="N23" i="19"/>
  <c r="N22" i="19"/>
  <c r="N21" i="19"/>
  <c r="N20" i="19"/>
  <c r="N19" i="19"/>
  <c r="N18" i="19"/>
  <c r="N17" i="19"/>
  <c r="N16" i="19"/>
  <c r="N15" i="19"/>
  <c r="N14" i="19"/>
  <c r="N13" i="19"/>
  <c r="N12" i="19"/>
  <c r="N11" i="19"/>
  <c r="K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E14" i="19"/>
  <c r="E23" i="19"/>
  <c r="C11" i="19"/>
  <c r="L12" i="19" l="1"/>
  <c r="M12" i="19" s="1"/>
  <c r="L20" i="19"/>
  <c r="M20" i="19" s="1"/>
  <c r="L28" i="19"/>
  <c r="M28" i="19" s="1"/>
  <c r="L13" i="19"/>
  <c r="M13" i="19" s="1"/>
  <c r="L21" i="19"/>
  <c r="L14" i="19"/>
  <c r="M14" i="19" s="1"/>
  <c r="L22" i="19"/>
  <c r="M22" i="19" s="1"/>
  <c r="L30" i="19"/>
  <c r="M30" i="19" s="1"/>
  <c r="L25" i="19"/>
  <c r="M25" i="19" s="1"/>
  <c r="L15" i="19"/>
  <c r="M15" i="19" s="1"/>
  <c r="L23" i="19"/>
  <c r="M23" i="19" s="1"/>
  <c r="L11" i="19"/>
  <c r="M11" i="19" s="1"/>
  <c r="O11" i="19" s="1"/>
  <c r="L16" i="19"/>
  <c r="M16" i="19" s="1"/>
  <c r="L24" i="19"/>
  <c r="M24" i="19" s="1"/>
  <c r="L18" i="19"/>
  <c r="M18" i="19" s="1"/>
  <c r="L27" i="19"/>
  <c r="M27" i="19" s="1"/>
  <c r="L17" i="19"/>
  <c r="M17" i="19" s="1"/>
  <c r="L26" i="19"/>
  <c r="M26" i="19" s="1"/>
  <c r="L19" i="19"/>
  <c r="M19" i="19" s="1"/>
  <c r="L29" i="19"/>
  <c r="M29" i="19" s="1"/>
  <c r="K12" i="19"/>
  <c r="K13" i="19" s="1"/>
  <c r="K14" i="19" s="1"/>
  <c r="K15" i="19" s="1"/>
  <c r="K16" i="19" s="1"/>
  <c r="K17" i="19" s="1"/>
  <c r="K18" i="19" s="1"/>
  <c r="K19" i="19" s="1"/>
  <c r="K20" i="19" s="1"/>
  <c r="K21" i="19" s="1"/>
  <c r="K22" i="19" s="1"/>
  <c r="K23" i="19" s="1"/>
  <c r="K24" i="19" s="1"/>
  <c r="K25" i="19" s="1"/>
  <c r="K26" i="19" s="1"/>
  <c r="G12" i="19"/>
  <c r="M21" i="19"/>
  <c r="E8" i="21"/>
  <c r="F8" i="21" s="1"/>
  <c r="E11" i="21"/>
  <c r="F11" i="21" s="1"/>
  <c r="E13" i="21"/>
  <c r="F13" i="21" s="1"/>
  <c r="E16" i="21"/>
  <c r="F16" i="21" s="1"/>
  <c r="E19" i="21"/>
  <c r="F19" i="21" s="1"/>
  <c r="E21" i="21"/>
  <c r="F21" i="21" s="1"/>
  <c r="E24" i="21"/>
  <c r="F24" i="21" s="1"/>
  <c r="E27" i="21"/>
  <c r="F27" i="21" s="1"/>
  <c r="E29" i="21"/>
  <c r="F29" i="21" s="1"/>
  <c r="E32" i="21"/>
  <c r="F32" i="21" s="1"/>
  <c r="F7" i="21"/>
  <c r="E33" i="21"/>
  <c r="F33" i="21" s="1"/>
  <c r="E31" i="21"/>
  <c r="F31" i="21" s="1"/>
  <c r="E30" i="21"/>
  <c r="F30" i="21" s="1"/>
  <c r="E28" i="21"/>
  <c r="F28" i="21" s="1"/>
  <c r="E26" i="21"/>
  <c r="F26" i="21" s="1"/>
  <c r="E25" i="21"/>
  <c r="F25" i="21" s="1"/>
  <c r="E23" i="21"/>
  <c r="F23" i="21" s="1"/>
  <c r="E22" i="21"/>
  <c r="F22" i="21" s="1"/>
  <c r="E20" i="21"/>
  <c r="F20" i="21" s="1"/>
  <c r="E18" i="21"/>
  <c r="F18" i="21" s="1"/>
  <c r="E17" i="21"/>
  <c r="F17" i="21" s="1"/>
  <c r="E15" i="21"/>
  <c r="F15" i="21" s="1"/>
  <c r="E14" i="21"/>
  <c r="F14" i="21" s="1"/>
  <c r="E12" i="21"/>
  <c r="F12" i="21" s="1"/>
  <c r="E10" i="21"/>
  <c r="F10" i="21" s="1"/>
  <c r="E9" i="21"/>
  <c r="F9" i="21" s="1"/>
  <c r="O14" i="19" l="1"/>
  <c r="O13" i="19"/>
  <c r="O12" i="19"/>
  <c r="O15" i="19"/>
  <c r="K27" i="19"/>
  <c r="K28" i="19" s="1"/>
  <c r="K29" i="19" s="1"/>
  <c r="K30" i="19" s="1"/>
  <c r="O30" i="19" s="1"/>
  <c r="O26" i="19"/>
  <c r="O17" i="19"/>
  <c r="O16" i="19"/>
  <c r="O24" i="19"/>
  <c r="O19" i="19"/>
  <c r="O22" i="19"/>
  <c r="O25" i="19"/>
  <c r="O21" i="19"/>
  <c r="O20" i="19"/>
  <c r="O18" i="19"/>
  <c r="O23" i="19"/>
  <c r="G14" i="19"/>
  <c r="G13" i="19"/>
  <c r="G7" i="21"/>
  <c r="G9" i="21"/>
  <c r="G25" i="21"/>
  <c r="G19" i="21"/>
  <c r="G15" i="21"/>
  <c r="G31" i="21"/>
  <c r="G21" i="21"/>
  <c r="G11" i="21"/>
  <c r="G27" i="21"/>
  <c r="G17" i="21"/>
  <c r="H33" i="21"/>
  <c r="G33" i="21"/>
  <c r="G23" i="21"/>
  <c r="G13" i="21"/>
  <c r="G29" i="21"/>
  <c r="G8" i="21"/>
  <c r="G10" i="21"/>
  <c r="G12" i="21"/>
  <c r="G14" i="21"/>
  <c r="G16" i="21"/>
  <c r="G18" i="21"/>
  <c r="G20" i="21"/>
  <c r="G22" i="21"/>
  <c r="G24" i="21"/>
  <c r="G26" i="21"/>
  <c r="G28" i="21"/>
  <c r="G30" i="21"/>
  <c r="G32" i="21"/>
  <c r="E5" i="21" l="1"/>
  <c r="O29" i="19"/>
  <c r="O27" i="19"/>
  <c r="O28" i="19"/>
  <c r="P30" i="19" l="1"/>
  <c r="P32" i="19" s="1"/>
  <c r="G15" i="19"/>
  <c r="G16" i="19" l="1"/>
  <c r="G18" i="19" l="1"/>
  <c r="G17" i="19"/>
  <c r="G19" i="19" l="1"/>
  <c r="G20" i="19" l="1"/>
  <c r="G21" i="19" l="1"/>
  <c r="G22" i="19" l="1"/>
  <c r="G23" i="19" l="1"/>
  <c r="G24" i="19" l="1"/>
  <c r="G25" i="19" l="1"/>
  <c r="G26" i="19" l="1"/>
  <c r="G27" i="19" l="1"/>
  <c r="G28" i="19" l="1"/>
  <c r="G29" i="19" l="1"/>
  <c r="G30" i="19" l="1"/>
  <c r="H30" i="19" s="1"/>
  <c r="H32" i="19" s="1"/>
  <c r="C32" i="19"/>
</calcChain>
</file>

<file path=xl/sharedStrings.xml><?xml version="1.0" encoding="utf-8"?>
<sst xmlns="http://schemas.openxmlformats.org/spreadsheetml/2006/main" count="221" uniqueCount="168">
  <si>
    <t>Name</t>
  </si>
  <si>
    <t>maxage</t>
  </si>
  <si>
    <t>R0</t>
  </si>
  <si>
    <t>M</t>
  </si>
  <si>
    <t>Msd</t>
  </si>
  <si>
    <t>Mgrad</t>
  </si>
  <si>
    <t>h</t>
  </si>
  <si>
    <t>SRrel</t>
  </si>
  <si>
    <t>Linf</t>
  </si>
  <si>
    <t>Linfsd</t>
  </si>
  <si>
    <t>Linfgrad</t>
  </si>
  <si>
    <t>K</t>
  </si>
  <si>
    <t>Ksd</t>
  </si>
  <si>
    <t>Kgrad</t>
  </si>
  <si>
    <t>t0</t>
  </si>
  <si>
    <t>AC</t>
  </si>
  <si>
    <t>a</t>
  </si>
  <si>
    <t>b</t>
  </si>
  <si>
    <t>L50</t>
  </si>
  <si>
    <t>L50_95</t>
  </si>
  <si>
    <t>D</t>
  </si>
  <si>
    <t>Perr</t>
  </si>
  <si>
    <t>Frac_area_1</t>
  </si>
  <si>
    <t>Prob_staying</t>
  </si>
  <si>
    <t>nyears</t>
  </si>
  <si>
    <t>Spat_targ</t>
  </si>
  <si>
    <t>SelYears</t>
  </si>
  <si>
    <t>AbsSelYears</t>
  </si>
  <si>
    <t>LFSLower</t>
  </si>
  <si>
    <t>LFSUpper</t>
  </si>
  <si>
    <t>L5Lower</t>
  </si>
  <si>
    <t>L5Upper</t>
  </si>
  <si>
    <t>VmaxLower</t>
  </si>
  <si>
    <t>VmaxUpper</t>
  </si>
  <si>
    <t>LFS</t>
  </si>
  <si>
    <t>L5</t>
  </si>
  <si>
    <t>Vmaxlen</t>
  </si>
  <si>
    <t>qinc</t>
  </si>
  <si>
    <t>qcv</t>
  </si>
  <si>
    <t>EffYears</t>
  </si>
  <si>
    <t>EffLower</t>
  </si>
  <si>
    <t>EffUpper</t>
  </si>
  <si>
    <t>isRel</t>
  </si>
  <si>
    <t>Cobs</t>
  </si>
  <si>
    <t>Cbiascv</t>
  </si>
  <si>
    <t>CAA_nsamp</t>
  </si>
  <si>
    <t>CAA_ESS</t>
  </si>
  <si>
    <t>CAL_nsamp</t>
  </si>
  <si>
    <t>CAL_ESS</t>
  </si>
  <si>
    <t>Iobs</t>
  </si>
  <si>
    <t>Dbiascv</t>
  </si>
  <si>
    <t>beta</t>
  </si>
  <si>
    <t>TACSD</t>
  </si>
  <si>
    <t>TACFrac</t>
  </si>
  <si>
    <t>SizeLimSD</t>
  </si>
  <si>
    <t>SizeLimFrac</t>
  </si>
  <si>
    <t>Source</t>
  </si>
  <si>
    <t>Period</t>
  </si>
  <si>
    <t>Amplitude</t>
  </si>
  <si>
    <t>Fdisc</t>
  </si>
  <si>
    <t>Esd</t>
  </si>
  <si>
    <t>LR5</t>
  </si>
  <si>
    <t>LFR</t>
  </si>
  <si>
    <t>Rmaxlen</t>
  </si>
  <si>
    <t>DR</t>
  </si>
  <si>
    <t>CurrentYr</t>
  </si>
  <si>
    <t>Slot</t>
  </si>
  <si>
    <t>nsim</t>
  </si>
  <si>
    <t>proyears</t>
  </si>
  <si>
    <t>interval</t>
  </si>
  <si>
    <t>pstar</t>
  </si>
  <si>
    <t>maxF</t>
  </si>
  <si>
    <t>reps</t>
  </si>
  <si>
    <t>Defaults</t>
  </si>
  <si>
    <t>M2</t>
  </si>
  <si>
    <t>Mexp</t>
  </si>
  <si>
    <t>LenCV</t>
  </si>
  <si>
    <t>Column1</t>
  </si>
  <si>
    <t>Column2</t>
  </si>
  <si>
    <t>Btbiascv</t>
  </si>
  <si>
    <t>Ibiascv</t>
  </si>
  <si>
    <t>Dobs</t>
  </si>
  <si>
    <t>Btobs</t>
  </si>
  <si>
    <t>Mbiascv</t>
  </si>
  <si>
    <t>Kbiascv</t>
  </si>
  <si>
    <t>t0biascv</t>
  </si>
  <si>
    <t>Linfbiascv</t>
  </si>
  <si>
    <t>LFCbiascv</t>
  </si>
  <si>
    <t>LFSbiascv</t>
  </si>
  <si>
    <t>FMSYbiascv</t>
  </si>
  <si>
    <t>FMSY_Mbiascv</t>
  </si>
  <si>
    <t>BMSY_B0biascv</t>
  </si>
  <si>
    <t>Irefbiascv</t>
  </si>
  <si>
    <t>Crefbiascv</t>
  </si>
  <si>
    <t>Brefbiascv</t>
  </si>
  <si>
    <t>hbiascv</t>
  </si>
  <si>
    <t>Recbiascv</t>
  </si>
  <si>
    <t>TAESD</t>
  </si>
  <si>
    <t>TAEFrac</t>
  </si>
  <si>
    <t>LenMbiascv</t>
  </si>
  <si>
    <t>Column3</t>
  </si>
  <si>
    <t>Species</t>
  </si>
  <si>
    <t>SSB0</t>
  </si>
  <si>
    <t>min</t>
  </si>
  <si>
    <t>Procsd</t>
  </si>
  <si>
    <t>max</t>
  </si>
  <si>
    <t>est</t>
  </si>
  <si>
    <t>obj</t>
  </si>
  <si>
    <t>SSB</t>
  </si>
  <si>
    <t>Frac</t>
  </si>
  <si>
    <t>Pred</t>
  </si>
  <si>
    <t>sqerr</t>
  </si>
  <si>
    <t>recdev</t>
  </si>
  <si>
    <t>ACF</t>
  </si>
  <si>
    <t>From Figure 51</t>
  </si>
  <si>
    <t>Age</t>
  </si>
  <si>
    <t>A50</t>
  </si>
  <si>
    <t>A50cv</t>
  </si>
  <si>
    <t>k</t>
  </si>
  <si>
    <t>N</t>
  </si>
  <si>
    <t>L</t>
  </si>
  <si>
    <t>W</t>
  </si>
  <si>
    <t># kgs</t>
  </si>
  <si>
    <t>tonnes</t>
  </si>
  <si>
    <t>Agency</t>
  </si>
  <si>
    <t>Region</t>
  </si>
  <si>
    <t>Latitude</t>
  </si>
  <si>
    <t>Longitude</t>
  </si>
  <si>
    <t>from VPA cpars</t>
  </si>
  <si>
    <t>proportional to density</t>
  </si>
  <si>
    <t>very little</t>
  </si>
  <si>
    <t>moderate</t>
  </si>
  <si>
    <t>Recruitment</t>
  </si>
  <si>
    <t>Assessment assumptin is 0.2 from 1983-1995</t>
  </si>
  <si>
    <t>Model y</t>
  </si>
  <si>
    <t>year</t>
  </si>
  <si>
    <t>Column4</t>
  </si>
  <si>
    <t>Size_area_1</t>
  </si>
  <si>
    <t>Common_Name</t>
  </si>
  <si>
    <t>1985-1994</t>
  </si>
  <si>
    <t>Bay</t>
  </si>
  <si>
    <t>Fundy</t>
  </si>
  <si>
    <t>Scotian</t>
  </si>
  <si>
    <t>1995-2004</t>
  </si>
  <si>
    <t>2005-2013</t>
  </si>
  <si>
    <t>Year</t>
  </si>
  <si>
    <t>Average of Bay of Fundy and Scotian Shelf areas</t>
  </si>
  <si>
    <t>1985-2015</t>
  </si>
  <si>
    <t>Haddock</t>
  </si>
  <si>
    <t>DFO. 2017. Assessment of 4X5Y Haddock in 2016. DFO Can. Sci. Advis. Sec. Sci. Advis. Rep. 2017/006</t>
  </si>
  <si>
    <t>Haddock 4X5Y</t>
  </si>
  <si>
    <t>Haddock_4X5Y_DFO</t>
  </si>
  <si>
    <t>Atlantic 4X5Y</t>
  </si>
  <si>
    <t>Melanogrammus</t>
  </si>
  <si>
    <t>aeglefinus</t>
  </si>
  <si>
    <t>VPA Estimate</t>
  </si>
  <si>
    <t>Table 13. Estimated population abundance at age and ages 4+ biomass from the VPA model formulation of M fixed at 0.2, except 0.3, 0.6, and 0.9 for ages 10-11+ for the three time blocks (2000-2004, 2005-2009, and 2010-2015, respectively) for 4X5Y Haddock. *The abundance at age 1 for 2016 was an assigned value, as the most recent 10 years of geometric mean of recruitment at age 1 (excluding the exceptional strong 2013 year class).</t>
  </si>
  <si>
    <t xml:space="preserve"> 4+biomass</t>
  </si>
  <si>
    <t>18491*</t>
  </si>
  <si>
    <t>000s From the SR sheet</t>
  </si>
  <si>
    <t>Moderate interannual variance in M</t>
  </si>
  <si>
    <t>Using the SR sheet as a maximum bound on steepness</t>
  </si>
  <si>
    <t>Haddock_4X5Y_DFO_Fleet</t>
  </si>
  <si>
    <t>Haddock_4X5Y_DFO_Obs</t>
  </si>
  <si>
    <t>Haddock_4X5Y_DFO_Imp</t>
  </si>
  <si>
    <t>depletion 1985</t>
  </si>
  <si>
    <t>depletion 2015</t>
  </si>
  <si>
    <t>DFO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</si>
</sst>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0"/>
      <color theme="1"/>
      <name val="Arial"/>
      <family val="2"/>
    </font>
    <font>
      <sz val="10"/>
      <color theme="1"/>
      <name val="Times New Roman"/>
      <family val="1"/>
    </font>
    <font>
      <b/>
      <sz val="10"/>
      <color rgb="FF000000"/>
      <name val="Arial"/>
      <family val="2"/>
    </font>
    <font>
      <sz val="11"/>
      <color theme="1"/>
      <name val="Arial"/>
      <family val="2"/>
    </font>
    <font>
      <sz val="10"/>
      <color rgb="FF00000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3" fillId="0" borderId="0"/>
    <xf numFmtId="0" fontId="7" fillId="0" borderId="0" applyNumberFormat="0" applyFill="0" applyBorder="0" applyAlignment="0" applyProtection="0"/>
    <xf numFmtId="0" fontId="8" fillId="0" borderId="1" applyNumberFormat="0" applyFill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4" applyNumberFormat="0" applyAlignment="0" applyProtection="0"/>
    <xf numFmtId="0" fontId="15" fillId="6" borderId="5" applyNumberFormat="0" applyAlignment="0" applyProtection="0"/>
    <xf numFmtId="0" fontId="16" fillId="6" borderId="4" applyNumberFormat="0" applyAlignment="0" applyProtection="0"/>
    <xf numFmtId="0" fontId="17" fillId="0" borderId="6" applyNumberFormat="0" applyFill="0" applyAlignment="0" applyProtection="0"/>
    <xf numFmtId="0" fontId="18" fillId="7" borderId="7" applyNumberFormat="0" applyAlignment="0" applyProtection="0"/>
    <xf numFmtId="0" fontId="19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20" fillId="0" borderId="0" applyNumberFormat="0" applyFill="0" applyBorder="0" applyAlignment="0" applyProtection="0"/>
    <xf numFmtId="0" fontId="2" fillId="0" borderId="9" applyNumberFormat="0" applyFill="0" applyAlignment="0" applyProtection="0"/>
    <xf numFmtId="0" fontId="21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21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1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1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1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1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7" fillId="0" borderId="0"/>
  </cellStyleXfs>
  <cellXfs count="42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/>
    <xf numFmtId="0" fontId="2" fillId="0" borderId="0" xfId="0" applyFont="1"/>
    <xf numFmtId="0" fontId="4" fillId="0" borderId="0" xfId="0" applyFont="1"/>
    <xf numFmtId="1" fontId="4" fillId="0" borderId="0" xfId="1" applyNumberFormat="1" applyFont="1"/>
    <xf numFmtId="2" fontId="4" fillId="0" borderId="0" xfId="1" applyNumberFormat="1" applyFont="1"/>
    <xf numFmtId="0" fontId="5" fillId="0" borderId="0" xfId="0" applyFont="1"/>
    <xf numFmtId="0" fontId="6" fillId="0" borderId="0" xfId="0" applyFont="1"/>
    <xf numFmtId="0" fontId="0" fillId="0" borderId="0" xfId="0" applyFont="1"/>
    <xf numFmtId="0" fontId="0" fillId="0" borderId="0" xfId="0"/>
    <xf numFmtId="0" fontId="0" fillId="0" borderId="0" xfId="0"/>
    <xf numFmtId="0" fontId="24" fillId="0" borderId="0" xfId="0" applyFont="1"/>
    <xf numFmtId="0" fontId="0" fillId="0" borderId="0" xfId="0"/>
    <xf numFmtId="0" fontId="26" fillId="0" borderId="0" xfId="0" applyFont="1" applyAlignment="1">
      <alignment horizontal="right" vertical="center"/>
    </xf>
    <xf numFmtId="0" fontId="25" fillId="0" borderId="0" xfId="0" applyFont="1" applyBorder="1" applyAlignment="1">
      <alignment horizontal="center" vertical="center"/>
    </xf>
    <xf numFmtId="1" fontId="0" fillId="0" borderId="0" xfId="0" applyNumberFormat="1"/>
    <xf numFmtId="0" fontId="28" fillId="0" borderId="0" xfId="0" applyFont="1" applyAlignment="1">
      <alignment vertical="center"/>
    </xf>
    <xf numFmtId="0" fontId="23" fillId="0" borderId="0" xfId="0" applyFont="1" applyAlignment="1"/>
    <xf numFmtId="0" fontId="22" fillId="0" borderId="0" xfId="0" applyFont="1" applyAlignment="1"/>
    <xf numFmtId="0" fontId="0" fillId="0" borderId="0" xfId="0" applyAlignment="1"/>
    <xf numFmtId="0" fontId="29" fillId="0" borderId="0" xfId="0" applyFont="1"/>
    <xf numFmtId="0" fontId="30" fillId="0" borderId="0" xfId="0" applyFont="1"/>
    <xf numFmtId="0" fontId="32" fillId="0" borderId="11" xfId="0" applyFont="1" applyBorder="1"/>
    <xf numFmtId="0" fontId="32" fillId="0" borderId="0" xfId="0" applyFont="1"/>
    <xf numFmtId="0" fontId="33" fillId="0" borderId="10" xfId="0" applyFont="1" applyBorder="1" applyAlignment="1">
      <alignment horizontal="center" vertical="center"/>
    </xf>
    <xf numFmtId="0" fontId="33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5" fillId="0" borderId="10" xfId="0" applyFont="1" applyBorder="1" applyAlignment="1">
      <alignment horizontal="center" vertical="center"/>
    </xf>
    <xf numFmtId="0" fontId="0" fillId="0" borderId="0" xfId="0" quotePrefix="1"/>
    <xf numFmtId="164" fontId="0" fillId="0" borderId="0" xfId="0" applyNumberFormat="1"/>
    <xf numFmtId="0" fontId="31" fillId="0" borderId="10" xfId="0" applyFont="1" applyBorder="1" applyAlignment="1">
      <alignment vertical="center" wrapText="1"/>
    </xf>
    <xf numFmtId="0" fontId="0" fillId="0" borderId="10" xfId="0" applyBorder="1" applyAlignment="1">
      <alignment wrapText="1"/>
    </xf>
    <xf numFmtId="0" fontId="32" fillId="0" borderId="12" xfId="0" applyFont="1" applyBorder="1"/>
    <xf numFmtId="0" fontId="33" fillId="0" borderId="12" xfId="0" applyFont="1" applyBorder="1" applyAlignment="1">
      <alignment vertical="center"/>
    </xf>
    <xf numFmtId="0" fontId="32" fillId="0" borderId="11" xfId="0" applyFont="1" applyBorder="1"/>
    <xf numFmtId="0" fontId="33" fillId="0" borderId="12" xfId="0" applyFont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3" fillId="0" borderId="10" xfId="0" applyFont="1" applyBorder="1" applyAlignment="1">
      <alignment horizontal="center" vertical="center"/>
    </xf>
    <xf numFmtId="0" fontId="34" fillId="0" borderId="0" xfId="0" applyFont="1" applyAlignment="1">
      <alignment vertical="center" wrapText="1"/>
    </xf>
    <xf numFmtId="0" fontId="35" fillId="0" borderId="11" xfId="0" applyFont="1" applyBorder="1" applyAlignment="1">
      <alignment horizontal="center" vertical="center"/>
    </xf>
    <xf numFmtId="0" fontId="35" fillId="0" borderId="10" xfId="0" applyFont="1" applyBorder="1" applyAlignment="1">
      <alignment horizontal="center" vertic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3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Stock</a:t>
            </a:r>
            <a:r>
              <a:rPr lang="en-US" sz="1200" baseline="0"/>
              <a:t> Recruitment  Model fit to VPA predictions (2017 assessment document)</a:t>
            </a:r>
            <a:endParaRPr lang="en-US" sz="1200"/>
          </a:p>
        </c:rich>
      </c:tx>
      <c:layout>
        <c:manualLayout>
          <c:xMode val="edge"/>
          <c:yMode val="edge"/>
          <c:x val="0.18021522309711283"/>
          <c:y val="4.673007556475100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424759405074368"/>
          <c:y val="8.1699419925450503E-2"/>
          <c:w val="0.78741907261592314"/>
          <c:h val="0.77526532009585758"/>
        </c:manualLayout>
      </c:layout>
      <c:scatterChart>
        <c:scatterStyle val="lineMarker"/>
        <c:varyColors val="0"/>
        <c:ser>
          <c:idx val="0"/>
          <c:order val="0"/>
          <c:tx>
            <c:v>VPA assessment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SR!$C$7:$C$44</c:f>
              <c:numCache>
                <c:formatCode>General</c:formatCode>
                <c:ptCount val="38"/>
                <c:pt idx="0">
                  <c:v>42280</c:v>
                </c:pt>
                <c:pt idx="1">
                  <c:v>40872</c:v>
                </c:pt>
                <c:pt idx="2">
                  <c:v>34967</c:v>
                </c:pt>
                <c:pt idx="3">
                  <c:v>28558</c:v>
                </c:pt>
                <c:pt idx="4">
                  <c:v>20830</c:v>
                </c:pt>
                <c:pt idx="5">
                  <c:v>19273</c:v>
                </c:pt>
                <c:pt idx="6">
                  <c:v>26557</c:v>
                </c:pt>
                <c:pt idx="7">
                  <c:v>29301</c:v>
                </c:pt>
                <c:pt idx="8">
                  <c:v>21340</c:v>
                </c:pt>
                <c:pt idx="9">
                  <c:v>19762</c:v>
                </c:pt>
                <c:pt idx="10">
                  <c:v>23534</c:v>
                </c:pt>
                <c:pt idx="11">
                  <c:v>29894</c:v>
                </c:pt>
                <c:pt idx="12">
                  <c:v>33919</c:v>
                </c:pt>
                <c:pt idx="13">
                  <c:v>35554</c:v>
                </c:pt>
                <c:pt idx="14">
                  <c:v>31597</c:v>
                </c:pt>
                <c:pt idx="15">
                  <c:v>31843</c:v>
                </c:pt>
                <c:pt idx="16">
                  <c:v>35513</c:v>
                </c:pt>
                <c:pt idx="17">
                  <c:v>41054</c:v>
                </c:pt>
                <c:pt idx="18">
                  <c:v>48252</c:v>
                </c:pt>
                <c:pt idx="19">
                  <c:v>51126</c:v>
                </c:pt>
                <c:pt idx="20">
                  <c:v>45248</c:v>
                </c:pt>
                <c:pt idx="21">
                  <c:v>40501</c:v>
                </c:pt>
                <c:pt idx="22">
                  <c:v>49376</c:v>
                </c:pt>
                <c:pt idx="23">
                  <c:v>44707</c:v>
                </c:pt>
                <c:pt idx="24">
                  <c:v>37225</c:v>
                </c:pt>
                <c:pt idx="25">
                  <c:v>35314</c:v>
                </c:pt>
                <c:pt idx="26">
                  <c:v>25048</c:v>
                </c:pt>
                <c:pt idx="27">
                  <c:v>18536</c:v>
                </c:pt>
                <c:pt idx="28">
                  <c:v>14898</c:v>
                </c:pt>
                <c:pt idx="29">
                  <c:v>20195</c:v>
                </c:pt>
                <c:pt idx="30">
                  <c:v>21400</c:v>
                </c:pt>
              </c:numCache>
            </c:numRef>
          </c:xVal>
          <c:yVal>
            <c:numRef>
              <c:f>SR!$D$7:$D$44</c:f>
              <c:numCache>
                <c:formatCode>General</c:formatCode>
                <c:ptCount val="38"/>
                <c:pt idx="0">
                  <c:v>11675</c:v>
                </c:pt>
                <c:pt idx="1">
                  <c:v>5513</c:v>
                </c:pt>
                <c:pt idx="2">
                  <c:v>7527</c:v>
                </c:pt>
                <c:pt idx="3">
                  <c:v>23615</c:v>
                </c:pt>
                <c:pt idx="4">
                  <c:v>21688</c:v>
                </c:pt>
                <c:pt idx="5">
                  <c:v>7137</c:v>
                </c:pt>
                <c:pt idx="6">
                  <c:v>11419</c:v>
                </c:pt>
                <c:pt idx="7">
                  <c:v>14553</c:v>
                </c:pt>
                <c:pt idx="8">
                  <c:v>22515</c:v>
                </c:pt>
                <c:pt idx="9">
                  <c:v>31531</c:v>
                </c:pt>
                <c:pt idx="10">
                  <c:v>30880</c:v>
                </c:pt>
                <c:pt idx="11">
                  <c:v>19597</c:v>
                </c:pt>
                <c:pt idx="12">
                  <c:v>13438</c:v>
                </c:pt>
                <c:pt idx="13">
                  <c:v>31735</c:v>
                </c:pt>
                <c:pt idx="14">
                  <c:v>53755</c:v>
                </c:pt>
                <c:pt idx="15">
                  <c:v>40831</c:v>
                </c:pt>
                <c:pt idx="16">
                  <c:v>42022</c:v>
                </c:pt>
                <c:pt idx="17">
                  <c:v>19115</c:v>
                </c:pt>
                <c:pt idx="18">
                  <c:v>16676</c:v>
                </c:pt>
                <c:pt idx="19">
                  <c:v>46487</c:v>
                </c:pt>
                <c:pt idx="20">
                  <c:v>15811</c:v>
                </c:pt>
                <c:pt idx="21">
                  <c:v>11507</c:v>
                </c:pt>
                <c:pt idx="22">
                  <c:v>19229</c:v>
                </c:pt>
                <c:pt idx="23">
                  <c:v>4379</c:v>
                </c:pt>
                <c:pt idx="24">
                  <c:v>4906</c:v>
                </c:pt>
                <c:pt idx="25">
                  <c:v>11790</c:v>
                </c:pt>
                <c:pt idx="26">
                  <c:v>34494</c:v>
                </c:pt>
                <c:pt idx="27">
                  <c:v>28334</c:v>
                </c:pt>
                <c:pt idx="28">
                  <c:v>42148</c:v>
                </c:pt>
                <c:pt idx="29">
                  <c:v>264205</c:v>
                </c:pt>
                <c:pt idx="30">
                  <c:v>74395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B81-4AF8-AA83-1F4BE6129CC4}"/>
            </c:ext>
          </c:extLst>
        </c:ser>
        <c:ser>
          <c:idx val="1"/>
          <c:order val="1"/>
          <c:tx>
            <c:v>Post hoc fitted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SR!$C$7:$C$44</c:f>
              <c:numCache>
                <c:formatCode>General</c:formatCode>
                <c:ptCount val="38"/>
                <c:pt idx="0">
                  <c:v>42280</c:v>
                </c:pt>
                <c:pt idx="1">
                  <c:v>40872</c:v>
                </c:pt>
                <c:pt idx="2">
                  <c:v>34967</c:v>
                </c:pt>
                <c:pt idx="3">
                  <c:v>28558</c:v>
                </c:pt>
                <c:pt idx="4">
                  <c:v>20830</c:v>
                </c:pt>
                <c:pt idx="5">
                  <c:v>19273</c:v>
                </c:pt>
                <c:pt idx="6">
                  <c:v>26557</c:v>
                </c:pt>
                <c:pt idx="7">
                  <c:v>29301</c:v>
                </c:pt>
                <c:pt idx="8">
                  <c:v>21340</c:v>
                </c:pt>
                <c:pt idx="9">
                  <c:v>19762</c:v>
                </c:pt>
                <c:pt idx="10">
                  <c:v>23534</c:v>
                </c:pt>
                <c:pt idx="11">
                  <c:v>29894</c:v>
                </c:pt>
                <c:pt idx="12">
                  <c:v>33919</c:v>
                </c:pt>
                <c:pt idx="13">
                  <c:v>35554</c:v>
                </c:pt>
                <c:pt idx="14">
                  <c:v>31597</c:v>
                </c:pt>
                <c:pt idx="15">
                  <c:v>31843</c:v>
                </c:pt>
                <c:pt idx="16">
                  <c:v>35513</c:v>
                </c:pt>
                <c:pt idx="17">
                  <c:v>41054</c:v>
                </c:pt>
                <c:pt idx="18">
                  <c:v>48252</c:v>
                </c:pt>
                <c:pt idx="19">
                  <c:v>51126</c:v>
                </c:pt>
                <c:pt idx="20">
                  <c:v>45248</c:v>
                </c:pt>
                <c:pt idx="21">
                  <c:v>40501</c:v>
                </c:pt>
                <c:pt idx="22">
                  <c:v>49376</c:v>
                </c:pt>
                <c:pt idx="23">
                  <c:v>44707</c:v>
                </c:pt>
                <c:pt idx="24">
                  <c:v>37225</c:v>
                </c:pt>
                <c:pt idx="25">
                  <c:v>35314</c:v>
                </c:pt>
                <c:pt idx="26">
                  <c:v>25048</c:v>
                </c:pt>
                <c:pt idx="27">
                  <c:v>18536</c:v>
                </c:pt>
                <c:pt idx="28">
                  <c:v>14898</c:v>
                </c:pt>
                <c:pt idx="29">
                  <c:v>20195</c:v>
                </c:pt>
                <c:pt idx="30">
                  <c:v>21400</c:v>
                </c:pt>
              </c:numCache>
            </c:numRef>
          </c:xVal>
          <c:yVal>
            <c:numRef>
              <c:f>SR!$F$7:$F$44</c:f>
              <c:numCache>
                <c:formatCode>General</c:formatCode>
                <c:ptCount val="38"/>
                <c:pt idx="0">
                  <c:v>20598.278943835645</c:v>
                </c:pt>
                <c:pt idx="1">
                  <c:v>20597.646527592166</c:v>
                </c:pt>
                <c:pt idx="2">
                  <c:v>20594.440140707164</c:v>
                </c:pt>
                <c:pt idx="3">
                  <c:v>20589.461488597299</c:v>
                </c:pt>
                <c:pt idx="4">
                  <c:v>20579.391238433967</c:v>
                </c:pt>
                <c:pt idx="5">
                  <c:v>20576.386792773603</c:v>
                </c:pt>
                <c:pt idx="6">
                  <c:v>20587.415516072848</c:v>
                </c:pt>
                <c:pt idx="7">
                  <c:v>20590.150134197072</c:v>
                </c:pt>
                <c:pt idx="8">
                  <c:v>20580.280200014076</c:v>
                </c:pt>
                <c:pt idx="9">
                  <c:v>20577.38128308448</c:v>
                </c:pt>
                <c:pt idx="10">
                  <c:v>20583.665780614658</c:v>
                </c:pt>
                <c:pt idx="11">
                  <c:v>20590.675220894595</c:v>
                </c:pt>
                <c:pt idx="12">
                  <c:v>20593.754560792921</c:v>
                </c:pt>
                <c:pt idx="13">
                  <c:v>20594.806503751584</c:v>
                </c:pt>
                <c:pt idx="14">
                  <c:v>20592.07373913264</c:v>
                </c:pt>
                <c:pt idx="15">
                  <c:v>20592.263406293489</c:v>
                </c:pt>
                <c:pt idx="16">
                  <c:v>20594.78130751826</c:v>
                </c:pt>
                <c:pt idx="17">
                  <c:v>20597.730713556488</c:v>
                </c:pt>
                <c:pt idx="18">
                  <c:v>20600.551381477191</c:v>
                </c:pt>
                <c:pt idx="19">
                  <c:v>20601.455903364196</c:v>
                </c:pt>
                <c:pt idx="20">
                  <c:v>20599.483229410627</c:v>
                </c:pt>
                <c:pt idx="21">
                  <c:v>20597.472576763728</c:v>
                </c:pt>
                <c:pt idx="22">
                  <c:v>20600.917661465901</c:v>
                </c:pt>
                <c:pt idx="23">
                  <c:v>20599.275621777677</c:v>
                </c:pt>
                <c:pt idx="24">
                  <c:v>20595.786223946536</c:v>
                </c:pt>
                <c:pt idx="25">
                  <c:v>20594.658183361622</c:v>
                </c:pt>
                <c:pt idx="26">
                  <c:v>20585.656716216945</c:v>
                </c:pt>
                <c:pt idx="27">
                  <c:v>20574.789004076702</c:v>
                </c:pt>
                <c:pt idx="28">
                  <c:v>20564.591664583801</c:v>
                </c:pt>
                <c:pt idx="29">
                  <c:v>20578.221756120882</c:v>
                </c:pt>
                <c:pt idx="30">
                  <c:v>20580.382002989289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B81-4AF8-AA83-1F4BE6129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495552"/>
        <c:axId val="762494376"/>
      </c:scatterChart>
      <c:valAx>
        <c:axId val="76249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SSB age4+ (000mt)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4376"/>
        <c:crosses val="autoZero"/>
        <c:crossBetween val="midCat"/>
      </c:valAx>
      <c:valAx>
        <c:axId val="76249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Recruitment (000s)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5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605074365704283"/>
          <c:y val="0.2299145617194826"/>
          <c:w val="0.2088101487314086"/>
          <c:h val="0.106333447449503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533400</xdr:colOff>
      <xdr:row>5</xdr:row>
      <xdr:rowOff>144780</xdr:rowOff>
    </xdr:from>
    <xdr:to>
      <xdr:col>16</xdr:col>
      <xdr:colOff>228600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9D91604-EE0D-4752-8362-D330C19CB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3" displayName="Table3" ref="A1:E35" totalsRowShown="0">
  <tableColumns count="5">
    <tableColumn id="1" name="Slot"/>
    <tableColumn id="2" name="Column1"/>
    <tableColumn id="3" name="Column2"/>
    <tableColumn id="4" name="Column3"/>
    <tableColumn id="5" name="Column4" dataDxfId="0"/>
  </tableColumns>
  <tableStyleInfo name="none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E5" sqref="E5"/>
    </sheetView>
  </sheetViews>
  <sheetFormatPr defaultRowHeight="14.5" x14ac:dyDescent="0.35"/>
  <cols>
    <col min="1" max="1" width="16.6328125" customWidth="1"/>
    <col min="2" max="3" width="10.36328125" customWidth="1"/>
    <col min="4" max="4" width="53.08984375" customWidth="1"/>
    <col min="5" max="5" width="75.90625" bestFit="1" customWidth="1"/>
  </cols>
  <sheetData>
    <row r="1" spans="1:6" x14ac:dyDescent="0.35">
      <c r="A1" t="s">
        <v>66</v>
      </c>
      <c r="B1" t="s">
        <v>77</v>
      </c>
      <c r="C1" t="s">
        <v>78</v>
      </c>
      <c r="D1" t="s">
        <v>100</v>
      </c>
      <c r="E1" s="3" t="s">
        <v>136</v>
      </c>
      <c r="F1" s="3"/>
    </row>
    <row r="2" spans="1:6" x14ac:dyDescent="0.35">
      <c r="A2" t="s">
        <v>0</v>
      </c>
      <c r="B2" t="s">
        <v>150</v>
      </c>
    </row>
    <row r="3" spans="1:6" s="13" customFormat="1" x14ac:dyDescent="0.35">
      <c r="A3" s="13" t="s">
        <v>138</v>
      </c>
      <c r="B3" s="13" t="s">
        <v>148</v>
      </c>
      <c r="E3" s="17"/>
    </row>
    <row r="4" spans="1:6" x14ac:dyDescent="0.35">
      <c r="A4" t="s">
        <v>101</v>
      </c>
      <c r="B4" t="s">
        <v>153</v>
      </c>
      <c r="C4" t="s">
        <v>154</v>
      </c>
    </row>
    <row r="5" spans="1:6" x14ac:dyDescent="0.35">
      <c r="A5" t="s">
        <v>1</v>
      </c>
      <c r="B5">
        <v>20</v>
      </c>
    </row>
    <row r="6" spans="1:6" x14ac:dyDescent="0.35">
      <c r="A6" t="s">
        <v>2</v>
      </c>
      <c r="B6">
        <v>30000</v>
      </c>
      <c r="C6">
        <f>SR!D4</f>
        <v>20564.591664583801</v>
      </c>
      <c r="D6" s="29" t="s">
        <v>159</v>
      </c>
      <c r="E6" s="13">
        <v>6660626.8768568942</v>
      </c>
    </row>
    <row r="7" spans="1:6" x14ac:dyDescent="0.35">
      <c r="A7" t="s">
        <v>3</v>
      </c>
      <c r="B7">
        <v>0.2</v>
      </c>
      <c r="C7">
        <v>0.2</v>
      </c>
      <c r="D7" t="s">
        <v>133</v>
      </c>
    </row>
    <row r="8" spans="1:6" x14ac:dyDescent="0.35">
      <c r="A8" t="s">
        <v>74</v>
      </c>
    </row>
    <row r="9" spans="1:6" x14ac:dyDescent="0.35">
      <c r="A9" t="s">
        <v>75</v>
      </c>
    </row>
    <row r="10" spans="1:6" x14ac:dyDescent="0.35">
      <c r="A10" t="s">
        <v>4</v>
      </c>
      <c r="B10">
        <v>0.05</v>
      </c>
      <c r="C10">
        <v>1</v>
      </c>
      <c r="D10" t="s">
        <v>160</v>
      </c>
    </row>
    <row r="11" spans="1:6" x14ac:dyDescent="0.35">
      <c r="A11" t="s">
        <v>5</v>
      </c>
      <c r="B11">
        <v>0</v>
      </c>
      <c r="C11">
        <v>0</v>
      </c>
    </row>
    <row r="12" spans="1:6" x14ac:dyDescent="0.35">
      <c r="A12" t="s">
        <v>6</v>
      </c>
      <c r="B12">
        <v>0.95</v>
      </c>
      <c r="C12">
        <v>0.99</v>
      </c>
      <c r="D12" t="s">
        <v>161</v>
      </c>
    </row>
    <row r="13" spans="1:6" x14ac:dyDescent="0.35">
      <c r="A13" t="s">
        <v>7</v>
      </c>
      <c r="B13">
        <v>1</v>
      </c>
    </row>
    <row r="14" spans="1:6" x14ac:dyDescent="0.35">
      <c r="A14" t="s">
        <v>21</v>
      </c>
      <c r="B14">
        <f>SR!H2-0.1</f>
        <v>0.59578071379013153</v>
      </c>
      <c r="C14">
        <f>SR!H2+0.1</f>
        <v>0.79578071379013149</v>
      </c>
    </row>
    <row r="15" spans="1:6" x14ac:dyDescent="0.35">
      <c r="A15" t="s">
        <v>15</v>
      </c>
      <c r="B15" s="13">
        <f>SR!H3</f>
        <v>-0.112829</v>
      </c>
      <c r="C15" s="13">
        <f>SR!H3</f>
        <v>-0.112829</v>
      </c>
    </row>
    <row r="16" spans="1:6" x14ac:dyDescent="0.35">
      <c r="A16" t="s">
        <v>57</v>
      </c>
    </row>
    <row r="17" spans="1:6" x14ac:dyDescent="0.35">
      <c r="A17" t="s">
        <v>58</v>
      </c>
    </row>
    <row r="18" spans="1:6" x14ac:dyDescent="0.35">
      <c r="A18" t="s">
        <v>8</v>
      </c>
      <c r="B18" s="13">
        <v>52</v>
      </c>
      <c r="C18" s="13">
        <v>64</v>
      </c>
    </row>
    <row r="19" spans="1:6" x14ac:dyDescent="0.35">
      <c r="A19" t="s">
        <v>11</v>
      </c>
      <c r="B19" s="13">
        <v>0.28000000000000003</v>
      </c>
      <c r="C19" s="13">
        <v>0.32</v>
      </c>
      <c r="D19" s="13"/>
    </row>
    <row r="20" spans="1:6" x14ac:dyDescent="0.35">
      <c r="A20" t="s">
        <v>14</v>
      </c>
      <c r="B20" s="13">
        <v>-0.64</v>
      </c>
      <c r="C20" s="13">
        <v>-0.52</v>
      </c>
      <c r="D20" s="13"/>
    </row>
    <row r="21" spans="1:6" x14ac:dyDescent="0.35">
      <c r="A21" t="s">
        <v>76</v>
      </c>
      <c r="B21">
        <v>0.05</v>
      </c>
      <c r="C21">
        <v>7.0000000000000007E-2</v>
      </c>
      <c r="F21" s="1"/>
    </row>
    <row r="22" spans="1:6" x14ac:dyDescent="0.35">
      <c r="A22" t="s">
        <v>12</v>
      </c>
      <c r="B22">
        <v>0</v>
      </c>
      <c r="C22">
        <v>0</v>
      </c>
    </row>
    <row r="23" spans="1:6" x14ac:dyDescent="0.35">
      <c r="A23" t="s">
        <v>13</v>
      </c>
      <c r="B23">
        <v>0</v>
      </c>
      <c r="C23">
        <v>0</v>
      </c>
    </row>
    <row r="24" spans="1:6" x14ac:dyDescent="0.35">
      <c r="A24" t="s">
        <v>9</v>
      </c>
      <c r="B24">
        <v>0</v>
      </c>
      <c r="C24">
        <v>0</v>
      </c>
    </row>
    <row r="25" spans="1:6" x14ac:dyDescent="0.35">
      <c r="A25" t="s">
        <v>10</v>
      </c>
      <c r="B25">
        <v>0</v>
      </c>
      <c r="C25" s="2">
        <v>0</v>
      </c>
    </row>
    <row r="26" spans="1:6" x14ac:dyDescent="0.35">
      <c r="A26" t="s">
        <v>18</v>
      </c>
      <c r="B26">
        <v>30</v>
      </c>
      <c r="C26">
        <v>40</v>
      </c>
    </row>
    <row r="27" spans="1:6" x14ac:dyDescent="0.35">
      <c r="A27" t="s">
        <v>19</v>
      </c>
      <c r="B27">
        <v>8</v>
      </c>
      <c r="C27">
        <v>12</v>
      </c>
    </row>
    <row r="28" spans="1:6" x14ac:dyDescent="0.35">
      <c r="A28" t="s">
        <v>20</v>
      </c>
      <c r="B28">
        <v>8.5000000000000006E-2</v>
      </c>
      <c r="C28">
        <v>0.34</v>
      </c>
    </row>
    <row r="29" spans="1:6" x14ac:dyDescent="0.35">
      <c r="A29" t="s">
        <v>16</v>
      </c>
      <c r="B29">
        <f>EXP(-11.811)</f>
        <v>7.4224601435718222E-6</v>
      </c>
      <c r="D29" t="s">
        <v>122</v>
      </c>
    </row>
    <row r="30" spans="1:6" x14ac:dyDescent="0.35">
      <c r="A30" t="s">
        <v>17</v>
      </c>
      <c r="B30">
        <v>3.0880000000000001</v>
      </c>
      <c r="E30" s="1"/>
    </row>
    <row r="31" spans="1:6" s="13" customFormat="1" x14ac:dyDescent="0.35">
      <c r="A31" s="13" t="s">
        <v>137</v>
      </c>
      <c r="B31" s="13">
        <v>0.5</v>
      </c>
      <c r="C31" s="13">
        <v>0.5</v>
      </c>
      <c r="E31" s="1"/>
    </row>
    <row r="32" spans="1:6" x14ac:dyDescent="0.35">
      <c r="A32" t="s">
        <v>22</v>
      </c>
      <c r="B32">
        <v>0.5</v>
      </c>
      <c r="C32">
        <v>0.5</v>
      </c>
      <c r="E32" s="1"/>
    </row>
    <row r="33" spans="1:5" x14ac:dyDescent="0.35">
      <c r="A33" t="s">
        <v>23</v>
      </c>
      <c r="B33">
        <v>0.5</v>
      </c>
      <c r="C33">
        <v>0.5</v>
      </c>
    </row>
    <row r="34" spans="1:5" x14ac:dyDescent="0.35">
      <c r="A34" t="s">
        <v>59</v>
      </c>
      <c r="B34">
        <v>1</v>
      </c>
      <c r="C34">
        <v>1</v>
      </c>
    </row>
    <row r="35" spans="1:5" x14ac:dyDescent="0.35">
      <c r="A35" t="s">
        <v>56</v>
      </c>
      <c r="B35" t="s">
        <v>149</v>
      </c>
      <c r="E35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27"/>
  <sheetViews>
    <sheetView workbookViewId="0">
      <selection activeCell="B2" sqref="B2"/>
    </sheetView>
  </sheetViews>
  <sheetFormatPr defaultColWidth="9.08984375" defaultRowHeight="14.5" x14ac:dyDescent="0.35"/>
  <cols>
    <col min="1" max="1" width="11.6328125" style="4" bestFit="1" customWidth="1"/>
    <col min="2" max="16384" width="9.08984375" style="4"/>
  </cols>
  <sheetData>
    <row r="1" spans="1:78" x14ac:dyDescent="0.35">
      <c r="A1" s="4" t="s">
        <v>66</v>
      </c>
    </row>
    <row r="2" spans="1:78" x14ac:dyDescent="0.35">
      <c r="A2" s="4" t="s">
        <v>0</v>
      </c>
      <c r="B2" s="9" t="s">
        <v>162</v>
      </c>
    </row>
    <row r="3" spans="1:78" x14ac:dyDescent="0.35">
      <c r="A3" s="4" t="s">
        <v>24</v>
      </c>
      <c r="B3" s="4">
        <v>31</v>
      </c>
      <c r="D3" s="9" t="s">
        <v>147</v>
      </c>
    </row>
    <row r="4" spans="1:78" x14ac:dyDescent="0.35">
      <c r="A4" s="4" t="s">
        <v>25</v>
      </c>
      <c r="B4" s="4">
        <v>1</v>
      </c>
      <c r="C4" s="4">
        <v>1</v>
      </c>
      <c r="D4" s="9" t="s">
        <v>129</v>
      </c>
    </row>
    <row r="5" spans="1:78" x14ac:dyDescent="0.35">
      <c r="A5" s="4" t="s">
        <v>39</v>
      </c>
      <c r="B5" s="5">
        <v>1</v>
      </c>
      <c r="C5" s="5">
        <v>2</v>
      </c>
      <c r="D5" s="5">
        <v>3</v>
      </c>
      <c r="E5" s="5">
        <v>4</v>
      </c>
      <c r="F5" s="5">
        <v>5</v>
      </c>
      <c r="G5" s="5">
        <v>6</v>
      </c>
      <c r="H5" s="5">
        <v>7</v>
      </c>
      <c r="I5" s="5">
        <v>8</v>
      </c>
      <c r="J5" s="5">
        <v>9</v>
      </c>
      <c r="K5" s="5">
        <v>10</v>
      </c>
      <c r="L5" s="5">
        <v>11</v>
      </c>
      <c r="M5" s="5">
        <v>12</v>
      </c>
      <c r="N5" s="5">
        <v>13</v>
      </c>
      <c r="O5" s="5">
        <v>14</v>
      </c>
      <c r="P5" s="5">
        <v>15</v>
      </c>
      <c r="Q5" s="5">
        <v>16</v>
      </c>
      <c r="R5" s="5">
        <v>17</v>
      </c>
      <c r="S5" s="5">
        <v>18</v>
      </c>
      <c r="T5" s="5">
        <v>19</v>
      </c>
      <c r="U5" s="5">
        <v>20</v>
      </c>
      <c r="V5" s="5">
        <v>21</v>
      </c>
      <c r="W5" s="5">
        <v>22</v>
      </c>
      <c r="X5" s="5">
        <v>23</v>
      </c>
      <c r="Y5" s="5">
        <v>24</v>
      </c>
      <c r="Z5" s="5">
        <v>25</v>
      </c>
      <c r="AA5" s="5">
        <v>26</v>
      </c>
      <c r="AB5" s="5">
        <v>27</v>
      </c>
      <c r="AC5" s="5">
        <v>28</v>
      </c>
      <c r="AD5" s="5">
        <v>29</v>
      </c>
      <c r="AE5" s="5">
        <v>30</v>
      </c>
      <c r="AF5" s="5">
        <v>31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</row>
    <row r="6" spans="1:78" x14ac:dyDescent="0.35">
      <c r="A6" s="4" t="s">
        <v>40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  <c r="Z6" s="6">
        <v>1</v>
      </c>
      <c r="AA6" s="6">
        <v>1</v>
      </c>
      <c r="AB6" s="6">
        <v>1</v>
      </c>
      <c r="AC6" s="6">
        <v>1</v>
      </c>
      <c r="AD6" s="6">
        <v>1</v>
      </c>
      <c r="AE6" s="6">
        <v>1</v>
      </c>
      <c r="AF6" s="6">
        <v>1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</row>
    <row r="7" spans="1:78" x14ac:dyDescent="0.35">
      <c r="A7" s="4" t="s">
        <v>41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  <c r="Z7" s="6">
        <v>1</v>
      </c>
      <c r="AA7" s="6">
        <v>1</v>
      </c>
      <c r="AB7" s="6">
        <v>1</v>
      </c>
      <c r="AC7" s="6">
        <v>1</v>
      </c>
      <c r="AD7" s="6">
        <v>1</v>
      </c>
      <c r="AE7" s="6">
        <v>1</v>
      </c>
      <c r="AF7" s="6">
        <v>1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</row>
    <row r="8" spans="1:78" x14ac:dyDescent="0.35">
      <c r="A8" s="4" t="s">
        <v>60</v>
      </c>
      <c r="B8" s="4">
        <v>0</v>
      </c>
      <c r="C8" s="4">
        <v>0</v>
      </c>
    </row>
    <row r="9" spans="1:78" x14ac:dyDescent="0.35">
      <c r="A9" s="4" t="s">
        <v>37</v>
      </c>
      <c r="B9" s="4">
        <v>-0.1</v>
      </c>
      <c r="C9" s="4">
        <v>0.1</v>
      </c>
      <c r="D9" s="9" t="s">
        <v>130</v>
      </c>
    </row>
    <row r="10" spans="1:78" x14ac:dyDescent="0.35">
      <c r="A10" s="4" t="s">
        <v>38</v>
      </c>
      <c r="B10" s="4">
        <v>0.1</v>
      </c>
      <c r="C10" s="4">
        <v>0.1</v>
      </c>
      <c r="D10" s="9" t="s">
        <v>131</v>
      </c>
    </row>
    <row r="11" spans="1:78" x14ac:dyDescent="0.35">
      <c r="A11" s="4" t="s">
        <v>35</v>
      </c>
      <c r="B11" s="9">
        <v>1</v>
      </c>
      <c r="C11" s="9">
        <v>1</v>
      </c>
      <c r="D11" s="9" t="s">
        <v>128</v>
      </c>
    </row>
    <row r="12" spans="1:78" x14ac:dyDescent="0.35">
      <c r="A12" s="4" t="s">
        <v>34</v>
      </c>
      <c r="B12" s="9">
        <v>1</v>
      </c>
      <c r="C12" s="9">
        <v>1</v>
      </c>
      <c r="D12" s="9" t="s">
        <v>128</v>
      </c>
    </row>
    <row r="13" spans="1:78" x14ac:dyDescent="0.35">
      <c r="A13" s="4" t="s">
        <v>36</v>
      </c>
      <c r="B13" s="9">
        <v>1</v>
      </c>
      <c r="C13" s="9">
        <v>1</v>
      </c>
      <c r="D13" s="9" t="s">
        <v>128</v>
      </c>
    </row>
    <row r="14" spans="1:78" x14ac:dyDescent="0.35">
      <c r="A14" s="4" t="s">
        <v>42</v>
      </c>
      <c r="B14" s="4" t="b">
        <v>0</v>
      </c>
    </row>
    <row r="15" spans="1:78" x14ac:dyDescent="0.35">
      <c r="A15" s="4" t="s">
        <v>61</v>
      </c>
    </row>
    <row r="16" spans="1:78" x14ac:dyDescent="0.35">
      <c r="A16" s="4" t="s">
        <v>62</v>
      </c>
    </row>
    <row r="17" spans="1:3" x14ac:dyDescent="0.35">
      <c r="A17" s="4" t="s">
        <v>63</v>
      </c>
    </row>
    <row r="18" spans="1:3" x14ac:dyDescent="0.35">
      <c r="A18" s="4" t="s">
        <v>64</v>
      </c>
      <c r="B18" s="4">
        <v>0</v>
      </c>
      <c r="C18" s="4">
        <v>0</v>
      </c>
    </row>
    <row r="19" spans="1:3" x14ac:dyDescent="0.35">
      <c r="A19" s="4" t="s">
        <v>26</v>
      </c>
    </row>
    <row r="20" spans="1:3" x14ac:dyDescent="0.35">
      <c r="A20" s="4" t="s">
        <v>27</v>
      </c>
    </row>
    <row r="21" spans="1:3" x14ac:dyDescent="0.35">
      <c r="A21" s="4" t="s">
        <v>30</v>
      </c>
    </row>
    <row r="22" spans="1:3" x14ac:dyDescent="0.35">
      <c r="A22" s="4" t="s">
        <v>31</v>
      </c>
    </row>
    <row r="23" spans="1:3" x14ac:dyDescent="0.35">
      <c r="A23" s="4" t="s">
        <v>28</v>
      </c>
    </row>
    <row r="24" spans="1:3" x14ac:dyDescent="0.35">
      <c r="A24" s="4" t="s">
        <v>29</v>
      </c>
    </row>
    <row r="25" spans="1:3" x14ac:dyDescent="0.35">
      <c r="A25" s="4" t="s">
        <v>32</v>
      </c>
    </row>
    <row r="26" spans="1:3" x14ac:dyDescent="0.35">
      <c r="A26" s="4" t="s">
        <v>33</v>
      </c>
    </row>
    <row r="27" spans="1:3" x14ac:dyDescent="0.35">
      <c r="A27" s="4" t="s">
        <v>65</v>
      </c>
      <c r="B27" s="4">
        <v>2015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F17" sqref="F17"/>
    </sheetView>
  </sheetViews>
  <sheetFormatPr defaultColWidth="9.08984375" defaultRowHeight="14.5" x14ac:dyDescent="0.35"/>
  <cols>
    <col min="1" max="1" width="11.54296875" style="8" bestFit="1" customWidth="1"/>
    <col min="2" max="2" width="9.90625" style="8" bestFit="1" customWidth="1"/>
    <col min="3" max="16384" width="9.08984375" style="8"/>
  </cols>
  <sheetData>
    <row r="1" spans="1:3" x14ac:dyDescent="0.35">
      <c r="A1" s="8" t="s">
        <v>66</v>
      </c>
    </row>
    <row r="2" spans="1:3" x14ac:dyDescent="0.35">
      <c r="A2" s="8" t="s">
        <v>0</v>
      </c>
      <c r="B2" s="9" t="s">
        <v>163</v>
      </c>
    </row>
    <row r="3" spans="1:3" x14ac:dyDescent="0.35">
      <c r="A3" t="s">
        <v>43</v>
      </c>
      <c r="B3">
        <v>0.05</v>
      </c>
      <c r="C3">
        <v>0.1</v>
      </c>
    </row>
    <row r="4" spans="1:3" x14ac:dyDescent="0.35">
      <c r="A4" t="s">
        <v>44</v>
      </c>
      <c r="B4">
        <v>2.5000000000000001E-2</v>
      </c>
      <c r="C4"/>
    </row>
    <row r="5" spans="1:3" x14ac:dyDescent="0.35">
      <c r="A5" t="s">
        <v>45</v>
      </c>
      <c r="B5">
        <v>100</v>
      </c>
      <c r="C5">
        <v>200</v>
      </c>
    </row>
    <row r="6" spans="1:3" x14ac:dyDescent="0.35">
      <c r="A6" t="s">
        <v>46</v>
      </c>
      <c r="B6">
        <v>25</v>
      </c>
      <c r="C6">
        <v>50</v>
      </c>
    </row>
    <row r="7" spans="1:3" x14ac:dyDescent="0.35">
      <c r="A7" t="s">
        <v>47</v>
      </c>
      <c r="B7">
        <v>100</v>
      </c>
      <c r="C7">
        <v>200</v>
      </c>
    </row>
    <row r="8" spans="1:3" x14ac:dyDescent="0.35">
      <c r="A8" t="s">
        <v>48</v>
      </c>
      <c r="B8">
        <v>25</v>
      </c>
      <c r="C8">
        <v>50</v>
      </c>
    </row>
    <row r="9" spans="1:3" x14ac:dyDescent="0.35">
      <c r="A9" t="s">
        <v>49</v>
      </c>
      <c r="B9">
        <v>0.1</v>
      </c>
      <c r="C9">
        <v>0.15</v>
      </c>
    </row>
    <row r="10" spans="1:3" x14ac:dyDescent="0.35">
      <c r="A10" t="s">
        <v>80</v>
      </c>
      <c r="B10">
        <v>0.2</v>
      </c>
      <c r="C10"/>
    </row>
    <row r="11" spans="1:3" x14ac:dyDescent="0.35">
      <c r="A11" t="s">
        <v>82</v>
      </c>
      <c r="B11">
        <v>0.2</v>
      </c>
      <c r="C11">
        <v>0.5</v>
      </c>
    </row>
    <row r="12" spans="1:3" x14ac:dyDescent="0.35">
      <c r="A12" t="s">
        <v>79</v>
      </c>
      <c r="B12">
        <v>0.5</v>
      </c>
      <c r="C12">
        <v>2</v>
      </c>
    </row>
    <row r="13" spans="1:3" x14ac:dyDescent="0.35">
      <c r="A13" t="s">
        <v>51</v>
      </c>
      <c r="B13">
        <v>0.66</v>
      </c>
      <c r="C13">
        <v>1.5</v>
      </c>
    </row>
    <row r="14" spans="1:3" x14ac:dyDescent="0.35">
      <c r="A14" t="s">
        <v>99</v>
      </c>
      <c r="B14">
        <v>0.1</v>
      </c>
      <c r="C14"/>
    </row>
    <row r="15" spans="1:3" x14ac:dyDescent="0.35">
      <c r="A15" t="s">
        <v>83</v>
      </c>
      <c r="B15">
        <v>0.2</v>
      </c>
      <c r="C15"/>
    </row>
    <row r="16" spans="1:3" x14ac:dyDescent="0.35">
      <c r="A16" t="s">
        <v>84</v>
      </c>
      <c r="B16">
        <v>0.05</v>
      </c>
      <c r="C16"/>
    </row>
    <row r="17" spans="1:3" x14ac:dyDescent="0.35">
      <c r="A17" t="s">
        <v>85</v>
      </c>
      <c r="B17">
        <v>0</v>
      </c>
      <c r="C17"/>
    </row>
    <row r="18" spans="1:3" x14ac:dyDescent="0.35">
      <c r="A18" t="s">
        <v>86</v>
      </c>
      <c r="B18">
        <v>2.5000000000000001E-2</v>
      </c>
      <c r="C18"/>
    </row>
    <row r="19" spans="1:3" x14ac:dyDescent="0.35">
      <c r="A19" t="s">
        <v>87</v>
      </c>
      <c r="B19">
        <v>0.05</v>
      </c>
      <c r="C19"/>
    </row>
    <row r="20" spans="1:3" x14ac:dyDescent="0.35">
      <c r="A20" t="s">
        <v>88</v>
      </c>
      <c r="B20">
        <v>0.05</v>
      </c>
      <c r="C20"/>
    </row>
    <row r="21" spans="1:3" x14ac:dyDescent="0.35">
      <c r="A21" t="s">
        <v>89</v>
      </c>
      <c r="B21">
        <v>0.4</v>
      </c>
      <c r="C21"/>
    </row>
    <row r="22" spans="1:3" x14ac:dyDescent="0.35">
      <c r="A22" t="s">
        <v>90</v>
      </c>
      <c r="B22">
        <v>0.15</v>
      </c>
      <c r="C22"/>
    </row>
    <row r="23" spans="1:3" x14ac:dyDescent="0.35">
      <c r="A23" t="s">
        <v>91</v>
      </c>
      <c r="B23">
        <v>0.2</v>
      </c>
      <c r="C23"/>
    </row>
    <row r="24" spans="1:3" x14ac:dyDescent="0.35">
      <c r="A24" t="s">
        <v>92</v>
      </c>
      <c r="B24">
        <v>0.5</v>
      </c>
      <c r="C24"/>
    </row>
    <row r="25" spans="1:3" x14ac:dyDescent="0.35">
      <c r="A25" t="s">
        <v>93</v>
      </c>
      <c r="B25">
        <v>0.5</v>
      </c>
      <c r="C25"/>
    </row>
    <row r="26" spans="1:3" x14ac:dyDescent="0.35">
      <c r="A26" t="s">
        <v>94</v>
      </c>
      <c r="B26">
        <v>0.5</v>
      </c>
      <c r="C26"/>
    </row>
    <row r="27" spans="1:3" x14ac:dyDescent="0.35">
      <c r="A27" t="s">
        <v>50</v>
      </c>
      <c r="B27">
        <v>0.5</v>
      </c>
      <c r="C27"/>
    </row>
    <row r="28" spans="1:3" x14ac:dyDescent="0.35">
      <c r="A28" t="s">
        <v>81</v>
      </c>
      <c r="B28">
        <v>0.05</v>
      </c>
      <c r="C28">
        <v>0.1</v>
      </c>
    </row>
    <row r="29" spans="1:3" ht="15" customHeight="1" x14ac:dyDescent="0.35">
      <c r="A29" t="s">
        <v>95</v>
      </c>
      <c r="B29">
        <v>0.1</v>
      </c>
      <c r="C29"/>
    </row>
    <row r="30" spans="1:3" x14ac:dyDescent="0.35">
      <c r="A30" t="s">
        <v>96</v>
      </c>
      <c r="B30">
        <v>0.05</v>
      </c>
      <c r="C30">
        <v>0.1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E17" sqref="E17"/>
    </sheetView>
  </sheetViews>
  <sheetFormatPr defaultColWidth="9.08984375" defaultRowHeight="14.5" x14ac:dyDescent="0.35"/>
  <cols>
    <col min="1" max="1" width="11.36328125" style="7" bestFit="1" customWidth="1"/>
    <col min="2" max="16384" width="9.08984375" style="7"/>
  </cols>
  <sheetData>
    <row r="1" spans="1:3" x14ac:dyDescent="0.35">
      <c r="A1" s="7" t="s">
        <v>66</v>
      </c>
    </row>
    <row r="2" spans="1:3" x14ac:dyDescent="0.35">
      <c r="A2" s="7" t="s">
        <v>0</v>
      </c>
      <c r="B2" s="9" t="s">
        <v>164</v>
      </c>
    </row>
    <row r="3" spans="1:3" x14ac:dyDescent="0.35">
      <c r="A3" s="7" t="s">
        <v>52</v>
      </c>
      <c r="B3" s="7">
        <v>2.5000000000000001E-2</v>
      </c>
      <c r="C3" s="7">
        <v>0.05</v>
      </c>
    </row>
    <row r="4" spans="1:3" x14ac:dyDescent="0.35">
      <c r="A4" s="7" t="s">
        <v>53</v>
      </c>
      <c r="B4" s="7">
        <v>1</v>
      </c>
      <c r="C4" s="7">
        <v>1.05</v>
      </c>
    </row>
    <row r="5" spans="1:3" x14ac:dyDescent="0.35">
      <c r="A5" s="7" t="s">
        <v>97</v>
      </c>
      <c r="B5" s="7">
        <v>2.5000000000000001E-2</v>
      </c>
      <c r="C5" s="7">
        <v>0.05</v>
      </c>
    </row>
    <row r="6" spans="1:3" x14ac:dyDescent="0.35">
      <c r="A6" s="7" t="s">
        <v>98</v>
      </c>
      <c r="B6" s="7">
        <v>1</v>
      </c>
      <c r="C6" s="7">
        <v>1.05</v>
      </c>
    </row>
    <row r="7" spans="1:3" x14ac:dyDescent="0.35">
      <c r="A7" s="7" t="s">
        <v>54</v>
      </c>
      <c r="B7" s="7">
        <v>2.5000000000000001E-2</v>
      </c>
      <c r="C7" s="7">
        <v>0.05</v>
      </c>
    </row>
    <row r="8" spans="1:3" x14ac:dyDescent="0.35">
      <c r="A8" s="7" t="s">
        <v>55</v>
      </c>
      <c r="B8" s="7">
        <v>1</v>
      </c>
      <c r="C8" s="7">
        <v>1.05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tabSelected="1" workbookViewId="0">
      <selection activeCell="F8" sqref="F8"/>
    </sheetView>
  </sheetViews>
  <sheetFormatPr defaultRowHeight="14.5" x14ac:dyDescent="0.35"/>
  <cols>
    <col min="1" max="1" width="9.453125" customWidth="1"/>
    <col min="2" max="2" width="10.90625" bestFit="1" customWidth="1"/>
  </cols>
  <sheetData>
    <row r="1" spans="1:3" x14ac:dyDescent="0.35">
      <c r="A1" t="s">
        <v>66</v>
      </c>
    </row>
    <row r="2" spans="1:3" x14ac:dyDescent="0.35">
      <c r="A2" t="s">
        <v>0</v>
      </c>
      <c r="B2" t="s">
        <v>151</v>
      </c>
    </row>
    <row r="3" spans="1:3" s="11" customFormat="1" x14ac:dyDescent="0.35">
      <c r="A3" s="11" t="s">
        <v>124</v>
      </c>
      <c r="B3" s="11" t="s">
        <v>167</v>
      </c>
    </row>
    <row r="4" spans="1:3" s="11" customFormat="1" x14ac:dyDescent="0.35">
      <c r="A4" s="11" t="s">
        <v>125</v>
      </c>
      <c r="B4" s="11" t="s">
        <v>152</v>
      </c>
    </row>
    <row r="5" spans="1:3" s="11" customFormat="1" x14ac:dyDescent="0.35">
      <c r="A5" s="11" t="s">
        <v>126</v>
      </c>
      <c r="B5" s="11">
        <v>42.8</v>
      </c>
    </row>
    <row r="6" spans="1:3" s="11" customFormat="1" x14ac:dyDescent="0.35">
      <c r="A6" s="11" t="s">
        <v>127</v>
      </c>
      <c r="B6" s="11">
        <v>-66</v>
      </c>
    </row>
    <row r="7" spans="1:3" x14ac:dyDescent="0.35">
      <c r="A7" t="s">
        <v>67</v>
      </c>
      <c r="B7">
        <v>80</v>
      </c>
    </row>
    <row r="8" spans="1:3" x14ac:dyDescent="0.35">
      <c r="A8" t="s">
        <v>68</v>
      </c>
      <c r="B8">
        <v>50</v>
      </c>
    </row>
    <row r="9" spans="1:3" x14ac:dyDescent="0.35">
      <c r="A9" t="s">
        <v>69</v>
      </c>
      <c r="B9">
        <v>4</v>
      </c>
    </row>
    <row r="10" spans="1:3" x14ac:dyDescent="0.35">
      <c r="A10" t="s">
        <v>70</v>
      </c>
      <c r="B10">
        <v>0.5</v>
      </c>
      <c r="C10" t="s">
        <v>73</v>
      </c>
    </row>
    <row r="11" spans="1:3" x14ac:dyDescent="0.35">
      <c r="A11" t="s">
        <v>71</v>
      </c>
      <c r="B11">
        <v>2</v>
      </c>
      <c r="C11" t="s">
        <v>73</v>
      </c>
    </row>
    <row r="12" spans="1:3" x14ac:dyDescent="0.35">
      <c r="A12" t="s">
        <v>72</v>
      </c>
      <c r="B12">
        <v>1</v>
      </c>
      <c r="C12" t="s">
        <v>73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4" zoomScaleNormal="100" workbookViewId="0">
      <selection activeCell="C7" sqref="C7"/>
    </sheetView>
  </sheetViews>
  <sheetFormatPr defaultColWidth="8.90625" defaultRowHeight="14.5" x14ac:dyDescent="0.35"/>
  <cols>
    <col min="1" max="1" width="8.90625" style="13"/>
    <col min="2" max="2" width="10.6328125" style="10" customWidth="1"/>
    <col min="3" max="3" width="8.90625" style="10"/>
    <col min="4" max="4" width="11.08984375" style="10" customWidth="1"/>
    <col min="5" max="16384" width="8.90625" style="10"/>
  </cols>
  <sheetData>
    <row r="1" spans="1:11" x14ac:dyDescent="0.35">
      <c r="C1" s="10" t="s">
        <v>102</v>
      </c>
      <c r="D1" s="10" t="s">
        <v>2</v>
      </c>
      <c r="E1" s="10" t="s">
        <v>6</v>
      </c>
    </row>
    <row r="2" spans="1:11" x14ac:dyDescent="0.35">
      <c r="B2" s="10" t="s">
        <v>103</v>
      </c>
      <c r="C2" s="10">
        <f>MIN(C7:C44)</f>
        <v>14898</v>
      </c>
      <c r="D2" s="10">
        <f>MIN(D7:D44)</f>
        <v>4379</v>
      </c>
      <c r="E2" s="10">
        <v>0.21099999999999999</v>
      </c>
      <c r="G2" s="10" t="s">
        <v>104</v>
      </c>
      <c r="H2" s="10">
        <f>STDEV(H7:H33)</f>
        <v>0.69578071379013151</v>
      </c>
    </row>
    <row r="3" spans="1:11" x14ac:dyDescent="0.35">
      <c r="B3" s="10" t="s">
        <v>105</v>
      </c>
      <c r="C3" s="10">
        <f>MAX(C7:C44)*2</f>
        <v>102252</v>
      </c>
      <c r="D3" s="10">
        <f>MAX(D7:D44)</f>
        <v>264205</v>
      </c>
      <c r="E3" s="10">
        <v>0.99</v>
      </c>
      <c r="G3" s="10" t="s">
        <v>113</v>
      </c>
      <c r="H3" s="10">
        <v>-0.112829</v>
      </c>
    </row>
    <row r="4" spans="1:11" x14ac:dyDescent="0.35">
      <c r="B4" s="10" t="s">
        <v>106</v>
      </c>
      <c r="C4" s="10">
        <v>14897.999999999996</v>
      </c>
      <c r="D4" s="10">
        <v>20564.591664583801</v>
      </c>
      <c r="E4" s="10">
        <v>0.99</v>
      </c>
    </row>
    <row r="5" spans="1:11" x14ac:dyDescent="0.35">
      <c r="D5" s="10" t="s">
        <v>107</v>
      </c>
      <c r="E5" s="10">
        <f>SUM(G7:G37)</f>
        <v>22.251089290515662</v>
      </c>
    </row>
    <row r="6" spans="1:11" x14ac:dyDescent="0.35">
      <c r="A6" s="13" t="s">
        <v>134</v>
      </c>
      <c r="B6" s="10" t="s">
        <v>135</v>
      </c>
      <c r="C6" s="15" t="s">
        <v>108</v>
      </c>
      <c r="D6" s="13" t="s">
        <v>132</v>
      </c>
      <c r="E6" s="10" t="s">
        <v>109</v>
      </c>
      <c r="F6" s="10" t="s">
        <v>110</v>
      </c>
      <c r="G6" s="10" t="s">
        <v>111</v>
      </c>
      <c r="H6" s="10" t="s">
        <v>112</v>
      </c>
    </row>
    <row r="7" spans="1:11" x14ac:dyDescent="0.35">
      <c r="A7" s="13">
        <v>1</v>
      </c>
      <c r="B7" s="13">
        <v>1985</v>
      </c>
      <c r="C7" s="14">
        <f>AVERAGE('SR VPA'!V5:W5)</f>
        <v>42280</v>
      </c>
      <c r="D7" s="13">
        <f>AVERAGE('SR VPA'!B5:C5)</f>
        <v>11675</v>
      </c>
      <c r="E7" s="10">
        <f>C7/$C$4</f>
        <v>2.8379648274936238</v>
      </c>
      <c r="F7" s="10">
        <f>$D$4*(4*hs*E7)/((1-hs)+(5*hs-1)*E7)</f>
        <v>20598.278943835645</v>
      </c>
      <c r="G7" s="10">
        <f>LN(F7/D7)^2</f>
        <v>0.32234883127061004</v>
      </c>
      <c r="H7" s="10">
        <f>LN(D7/F7)</f>
        <v>-0.56775772233463273</v>
      </c>
      <c r="K7" s="10" t="s">
        <v>114</v>
      </c>
    </row>
    <row r="8" spans="1:11" x14ac:dyDescent="0.35">
      <c r="A8" s="13">
        <v>2</v>
      </c>
      <c r="B8" s="13">
        <v>1986</v>
      </c>
      <c r="C8" s="14">
        <f>AVERAGE('SR VPA'!V6:W6)</f>
        <v>40872</v>
      </c>
      <c r="D8" s="13">
        <f>AVERAGE('SR VPA'!B6:C6)</f>
        <v>5513</v>
      </c>
      <c r="E8" s="10">
        <f t="shared" ref="E8:E37" si="0">C8/$C$4</f>
        <v>2.7434554973821994</v>
      </c>
      <c r="F8" s="10">
        <f t="shared" ref="F8:F37" si="1">$D$4*(4*hs*E8)/((1-hs)+(5*hs-1)*E8)</f>
        <v>20597.646527592166</v>
      </c>
      <c r="G8" s="10">
        <f t="shared" ref="G8:G37" si="2">LN(F8/D8)^2</f>
        <v>1.73730294532437</v>
      </c>
      <c r="H8" s="10">
        <f t="shared" ref="H8:H37" si="3">LN(D8/F8)</f>
        <v>-1.3180678834280009</v>
      </c>
    </row>
    <row r="9" spans="1:11" x14ac:dyDescent="0.35">
      <c r="A9" s="13">
        <v>3</v>
      </c>
      <c r="B9" s="13">
        <v>1987</v>
      </c>
      <c r="C9" s="14">
        <f>AVERAGE('SR VPA'!V7:W7)</f>
        <v>34967</v>
      </c>
      <c r="D9" s="13">
        <f>AVERAGE('SR VPA'!B7:C7)</f>
        <v>7527</v>
      </c>
      <c r="E9" s="10">
        <f t="shared" si="0"/>
        <v>2.3470935696066593</v>
      </c>
      <c r="F9" s="10">
        <f t="shared" si="1"/>
        <v>20594.440140707164</v>
      </c>
      <c r="G9" s="10">
        <f t="shared" si="2"/>
        <v>1.0130917447034771</v>
      </c>
      <c r="H9" s="10">
        <f t="shared" si="3"/>
        <v>-1.0065245872324617</v>
      </c>
    </row>
    <row r="10" spans="1:11" x14ac:dyDescent="0.35">
      <c r="A10" s="13">
        <v>4</v>
      </c>
      <c r="B10" s="13">
        <v>1988</v>
      </c>
      <c r="C10" s="14">
        <f>AVERAGE('SR VPA'!V8:W8)</f>
        <v>28558</v>
      </c>
      <c r="D10" s="13">
        <f>AVERAGE('SR VPA'!B8:C8)</f>
        <v>23615</v>
      </c>
      <c r="E10" s="10">
        <f t="shared" si="0"/>
        <v>1.9169015975298702</v>
      </c>
      <c r="F10" s="10">
        <f t="shared" si="1"/>
        <v>20589.461488597299</v>
      </c>
      <c r="G10" s="10">
        <f t="shared" si="2"/>
        <v>1.8797160404257628E-2</v>
      </c>
      <c r="H10" s="10">
        <f t="shared" si="3"/>
        <v>0.13710273667676234</v>
      </c>
    </row>
    <row r="11" spans="1:11" x14ac:dyDescent="0.35">
      <c r="A11" s="13">
        <v>5</v>
      </c>
      <c r="B11" s="13">
        <v>1989</v>
      </c>
      <c r="C11" s="14">
        <f>AVERAGE('SR VPA'!V9:W9)</f>
        <v>20830</v>
      </c>
      <c r="D11" s="13">
        <f>AVERAGE('SR VPA'!B9:C9)</f>
        <v>21688</v>
      </c>
      <c r="E11" s="10">
        <f t="shared" si="0"/>
        <v>1.3981742515773934</v>
      </c>
      <c r="F11" s="10">
        <f t="shared" si="1"/>
        <v>20579.391238433967</v>
      </c>
      <c r="G11" s="10">
        <f t="shared" si="2"/>
        <v>2.7529920236213546E-3</v>
      </c>
      <c r="H11" s="10">
        <f t="shared" si="3"/>
        <v>5.2468962478987108E-2</v>
      </c>
    </row>
    <row r="12" spans="1:11" x14ac:dyDescent="0.35">
      <c r="A12" s="13">
        <v>6</v>
      </c>
      <c r="B12" s="13">
        <v>1990</v>
      </c>
      <c r="C12" s="14">
        <f>AVERAGE('SR VPA'!V10:W10)</f>
        <v>19273</v>
      </c>
      <c r="D12" s="13">
        <f>AVERAGE('SR VPA'!B10:C10)</f>
        <v>7137</v>
      </c>
      <c r="E12" s="10">
        <f t="shared" si="0"/>
        <v>1.2936635790038935</v>
      </c>
      <c r="F12" s="10">
        <f t="shared" si="1"/>
        <v>20576.386792773603</v>
      </c>
      <c r="G12" s="10">
        <f t="shared" si="2"/>
        <v>1.1211667661765683</v>
      </c>
      <c r="H12" s="10">
        <f t="shared" si="3"/>
        <v>-1.0588516261386995</v>
      </c>
    </row>
    <row r="13" spans="1:11" x14ac:dyDescent="0.35">
      <c r="A13" s="13">
        <v>7</v>
      </c>
      <c r="B13" s="13">
        <v>1991</v>
      </c>
      <c r="C13" s="14">
        <f>AVERAGE('SR VPA'!V11:W11)</f>
        <v>26557</v>
      </c>
      <c r="D13" s="13">
        <f>AVERAGE('SR VPA'!B11:C11)</f>
        <v>11419</v>
      </c>
      <c r="E13" s="10">
        <f t="shared" si="0"/>
        <v>1.782588266881461</v>
      </c>
      <c r="F13" s="10">
        <f t="shared" si="1"/>
        <v>20587.415516072848</v>
      </c>
      <c r="G13" s="10">
        <f t="shared" si="2"/>
        <v>0.34739395977989068</v>
      </c>
      <c r="H13" s="10">
        <f t="shared" si="3"/>
        <v>-0.58940135712423569</v>
      </c>
    </row>
    <row r="14" spans="1:11" x14ac:dyDescent="0.35">
      <c r="A14" s="13">
        <v>8</v>
      </c>
      <c r="B14" s="13">
        <v>1992</v>
      </c>
      <c r="C14" s="14">
        <f>AVERAGE('SR VPA'!V12:W12)</f>
        <v>29301</v>
      </c>
      <c r="D14" s="13">
        <f>AVERAGE('SR VPA'!B12:C12)</f>
        <v>14553</v>
      </c>
      <c r="E14" s="10">
        <f t="shared" si="0"/>
        <v>1.9667740636327029</v>
      </c>
      <c r="F14" s="10">
        <f t="shared" si="1"/>
        <v>20590.150134197072</v>
      </c>
      <c r="G14" s="10">
        <f t="shared" si="2"/>
        <v>0.12041986459948488</v>
      </c>
      <c r="H14" s="10">
        <f t="shared" si="3"/>
        <v>-0.34701565468935963</v>
      </c>
    </row>
    <row r="15" spans="1:11" x14ac:dyDescent="0.35">
      <c r="A15" s="13">
        <v>9</v>
      </c>
      <c r="B15" s="13">
        <v>1993</v>
      </c>
      <c r="C15" s="14">
        <f>AVERAGE('SR VPA'!V13:W13)</f>
        <v>21340</v>
      </c>
      <c r="D15" s="13">
        <f>AVERAGE('SR VPA'!B13:C13)</f>
        <v>22515</v>
      </c>
      <c r="E15" s="10">
        <f t="shared" si="0"/>
        <v>1.4324070345012756</v>
      </c>
      <c r="F15" s="10">
        <f t="shared" si="1"/>
        <v>20580.280200014076</v>
      </c>
      <c r="G15" s="10">
        <f t="shared" si="2"/>
        <v>8.0727364703207464E-3</v>
      </c>
      <c r="H15" s="10">
        <f t="shared" si="3"/>
        <v>8.9848408279283032E-2</v>
      </c>
    </row>
    <row r="16" spans="1:11" x14ac:dyDescent="0.35">
      <c r="A16" s="13">
        <v>10</v>
      </c>
      <c r="B16" s="13">
        <v>1994</v>
      </c>
      <c r="C16" s="14">
        <f>AVERAGE('SR VPA'!V14:W14)</f>
        <v>19762</v>
      </c>
      <c r="D16" s="13">
        <f>AVERAGE('SR VPA'!B14:C14)</f>
        <v>31531</v>
      </c>
      <c r="E16" s="10">
        <f t="shared" si="0"/>
        <v>1.3264867767485571</v>
      </c>
      <c r="F16" s="10">
        <f t="shared" si="1"/>
        <v>20577.38128308448</v>
      </c>
      <c r="G16" s="10">
        <f t="shared" si="2"/>
        <v>0.18214006926446485</v>
      </c>
      <c r="H16" s="10">
        <f t="shared" si="3"/>
        <v>0.42677871229064934</v>
      </c>
    </row>
    <row r="17" spans="1:8" x14ac:dyDescent="0.35">
      <c r="A17" s="13">
        <v>11</v>
      </c>
      <c r="B17" s="13">
        <v>1995</v>
      </c>
      <c r="C17" s="14">
        <f>AVERAGE('SR VPA'!V15:W15)</f>
        <v>23534</v>
      </c>
      <c r="D17" s="13">
        <f>AVERAGE('SR VPA'!B15:C15)</f>
        <v>30880</v>
      </c>
      <c r="E17" s="10">
        <f t="shared" si="0"/>
        <v>1.5796751241777425</v>
      </c>
      <c r="F17" s="10">
        <f t="shared" si="1"/>
        <v>20583.665780614658</v>
      </c>
      <c r="G17" s="10">
        <f t="shared" si="2"/>
        <v>0.16452019178443111</v>
      </c>
      <c r="H17" s="10">
        <f t="shared" si="3"/>
        <v>0.40561088716210647</v>
      </c>
    </row>
    <row r="18" spans="1:8" x14ac:dyDescent="0.35">
      <c r="A18" s="13">
        <v>12</v>
      </c>
      <c r="B18" s="13">
        <v>1996</v>
      </c>
      <c r="C18" s="14">
        <f>AVERAGE('SR VPA'!V16:W16)</f>
        <v>29894</v>
      </c>
      <c r="D18" s="13">
        <f>AVERAGE('SR VPA'!B16:C16)</f>
        <v>19597</v>
      </c>
      <c r="E18" s="10">
        <f t="shared" si="0"/>
        <v>2.0065780641696875</v>
      </c>
      <c r="F18" s="10">
        <f t="shared" si="1"/>
        <v>20590.675220894595</v>
      </c>
      <c r="G18" s="10">
        <f t="shared" si="2"/>
        <v>2.4464717205758338E-3</v>
      </c>
      <c r="H18" s="10">
        <f t="shared" si="3"/>
        <v>-4.946182083765055E-2</v>
      </c>
    </row>
    <row r="19" spans="1:8" x14ac:dyDescent="0.35">
      <c r="A19" s="13">
        <v>13</v>
      </c>
      <c r="B19" s="13">
        <v>1997</v>
      </c>
      <c r="C19" s="14">
        <f>AVERAGE('SR VPA'!V17:W17)</f>
        <v>33919</v>
      </c>
      <c r="D19" s="13">
        <f>AVERAGE('SR VPA'!B17:C17)</f>
        <v>13438</v>
      </c>
      <c r="E19" s="10">
        <f t="shared" si="0"/>
        <v>2.2767485568532693</v>
      </c>
      <c r="F19" s="10">
        <f t="shared" si="1"/>
        <v>20593.754560792921</v>
      </c>
      <c r="G19" s="10">
        <f t="shared" si="2"/>
        <v>0.18224475295798573</v>
      </c>
      <c r="H19" s="10">
        <f t="shared" si="3"/>
        <v>-0.42690133866970459</v>
      </c>
    </row>
    <row r="20" spans="1:8" x14ac:dyDescent="0.35">
      <c r="A20" s="13">
        <v>14</v>
      </c>
      <c r="B20" s="13">
        <v>1998</v>
      </c>
      <c r="C20" s="14">
        <f>AVERAGE('SR VPA'!V18:W18)</f>
        <v>35554</v>
      </c>
      <c r="D20" s="13">
        <f>AVERAGE('SR VPA'!B18:C18)</f>
        <v>31735</v>
      </c>
      <c r="E20" s="10">
        <f t="shared" si="0"/>
        <v>2.3864948315210102</v>
      </c>
      <c r="F20" s="10">
        <f t="shared" si="1"/>
        <v>20594.806503751584</v>
      </c>
      <c r="G20" s="10">
        <f t="shared" si="2"/>
        <v>0.18695353689133709</v>
      </c>
      <c r="H20" s="10">
        <f t="shared" si="3"/>
        <v>0.43238124021670643</v>
      </c>
    </row>
    <row r="21" spans="1:8" x14ac:dyDescent="0.35">
      <c r="A21" s="13">
        <v>15</v>
      </c>
      <c r="B21" s="13">
        <v>1999</v>
      </c>
      <c r="C21" s="14">
        <f>AVERAGE('SR VPA'!V19:W19)</f>
        <v>31597</v>
      </c>
      <c r="D21" s="13">
        <f>AVERAGE('SR VPA'!B19:C19)</f>
        <v>53755</v>
      </c>
      <c r="E21" s="10">
        <f t="shared" si="0"/>
        <v>2.1208887098939462</v>
      </c>
      <c r="F21" s="10">
        <f t="shared" si="1"/>
        <v>20592.07373913264</v>
      </c>
      <c r="G21" s="10">
        <f t="shared" si="2"/>
        <v>0.92069869240219948</v>
      </c>
      <c r="H21" s="10">
        <f t="shared" si="3"/>
        <v>0.95953045412962235</v>
      </c>
    </row>
    <row r="22" spans="1:8" x14ac:dyDescent="0.35">
      <c r="A22" s="13">
        <v>16</v>
      </c>
      <c r="B22" s="13">
        <v>2000</v>
      </c>
      <c r="C22" s="14">
        <f>AVERAGE('SR VPA'!V20:W20)</f>
        <v>31843</v>
      </c>
      <c r="D22" s="13">
        <f>AVERAGE('SR VPA'!B20:C20)</f>
        <v>40831</v>
      </c>
      <c r="E22" s="10">
        <f t="shared" si="0"/>
        <v>2.1374009934219362</v>
      </c>
      <c r="F22" s="10">
        <f t="shared" si="1"/>
        <v>20592.263406293489</v>
      </c>
      <c r="G22" s="10">
        <f t="shared" si="2"/>
        <v>0.4685760560219705</v>
      </c>
      <c r="H22" s="10">
        <f t="shared" si="3"/>
        <v>0.68452615437393671</v>
      </c>
    </row>
    <row r="23" spans="1:8" x14ac:dyDescent="0.35">
      <c r="A23" s="13">
        <v>17</v>
      </c>
      <c r="B23" s="13">
        <v>2001</v>
      </c>
      <c r="C23" s="14">
        <f>AVERAGE('SR VPA'!V21:W21)</f>
        <v>35513</v>
      </c>
      <c r="D23" s="13">
        <f>AVERAGE('SR VPA'!B21:C21)</f>
        <v>42022</v>
      </c>
      <c r="E23" s="10">
        <f t="shared" si="0"/>
        <v>2.383742784266345</v>
      </c>
      <c r="F23" s="10">
        <f t="shared" si="1"/>
        <v>20594.78130751826</v>
      </c>
      <c r="G23" s="10">
        <f t="shared" si="2"/>
        <v>0.5085908834994004</v>
      </c>
      <c r="H23" s="10">
        <f t="shared" si="3"/>
        <v>0.71315558155244119</v>
      </c>
    </row>
    <row r="24" spans="1:8" x14ac:dyDescent="0.35">
      <c r="A24" s="13">
        <v>18</v>
      </c>
      <c r="B24" s="13">
        <v>2002</v>
      </c>
      <c r="C24" s="14">
        <f>AVERAGE('SR VPA'!V22:W22)</f>
        <v>41054</v>
      </c>
      <c r="D24" s="13">
        <f>AVERAGE('SR VPA'!B22:C22)</f>
        <v>19115</v>
      </c>
      <c r="E24" s="10">
        <f t="shared" si="0"/>
        <v>2.7556719022687615</v>
      </c>
      <c r="F24" s="10">
        <f t="shared" si="1"/>
        <v>20597.730713556488</v>
      </c>
      <c r="G24" s="10">
        <f t="shared" si="2"/>
        <v>5.5812169875305339E-3</v>
      </c>
      <c r="H24" s="10">
        <f t="shared" si="3"/>
        <v>-7.4707543043059155E-2</v>
      </c>
    </row>
    <row r="25" spans="1:8" x14ac:dyDescent="0.35">
      <c r="A25" s="13">
        <v>19</v>
      </c>
      <c r="B25" s="13">
        <v>2003</v>
      </c>
      <c r="C25" s="14">
        <f>AVERAGE('SR VPA'!V23:W23)</f>
        <v>48252</v>
      </c>
      <c r="D25" s="13">
        <f>AVERAGE('SR VPA'!B23:C23)</f>
        <v>16676</v>
      </c>
      <c r="E25" s="10">
        <f t="shared" si="0"/>
        <v>3.2388240032219096</v>
      </c>
      <c r="F25" s="10">
        <f t="shared" si="1"/>
        <v>20600.551381477191</v>
      </c>
      <c r="G25" s="10">
        <f t="shared" si="2"/>
        <v>4.4667673401627139E-2</v>
      </c>
      <c r="H25" s="10">
        <f t="shared" si="3"/>
        <v>-0.21134728150990537</v>
      </c>
    </row>
    <row r="26" spans="1:8" x14ac:dyDescent="0.35">
      <c r="A26" s="13">
        <v>20</v>
      </c>
      <c r="B26" s="13">
        <v>2004</v>
      </c>
      <c r="C26" s="14">
        <f>AVERAGE('SR VPA'!V24:W24)</f>
        <v>51126</v>
      </c>
      <c r="D26" s="13">
        <f>AVERAGE('SR VPA'!B24:C24)</f>
        <v>46487</v>
      </c>
      <c r="E26" s="10">
        <f t="shared" si="0"/>
        <v>3.4317358034635528</v>
      </c>
      <c r="F26" s="10">
        <f t="shared" si="1"/>
        <v>20601.455903364196</v>
      </c>
      <c r="G26" s="10">
        <f t="shared" si="2"/>
        <v>0.66228827112111321</v>
      </c>
      <c r="H26" s="10">
        <f t="shared" si="3"/>
        <v>0.81381095539511694</v>
      </c>
    </row>
    <row r="27" spans="1:8" x14ac:dyDescent="0.35">
      <c r="A27" s="13">
        <v>21</v>
      </c>
      <c r="B27" s="13">
        <v>2005</v>
      </c>
      <c r="C27" s="14">
        <f>AVERAGE('SR VPA'!V25:W25)</f>
        <v>45248</v>
      </c>
      <c r="D27" s="13">
        <f>AVERAGE('SR VPA'!B25:C25)</f>
        <v>15811</v>
      </c>
      <c r="E27" s="10">
        <f t="shared" si="0"/>
        <v>3.0371861994898652</v>
      </c>
      <c r="F27" s="10">
        <f t="shared" si="1"/>
        <v>20599.483229410627</v>
      </c>
      <c r="G27" s="10">
        <f t="shared" si="2"/>
        <v>6.9992040798532731E-2</v>
      </c>
      <c r="H27" s="10">
        <f t="shared" si="3"/>
        <v>-0.26456008920192914</v>
      </c>
    </row>
    <row r="28" spans="1:8" x14ac:dyDescent="0.35">
      <c r="A28" s="13">
        <v>22</v>
      </c>
      <c r="B28" s="13">
        <v>2006</v>
      </c>
      <c r="C28" s="14">
        <f>AVERAGE('SR VPA'!V26:W26)</f>
        <v>40501</v>
      </c>
      <c r="D28" s="13">
        <f>AVERAGE('SR VPA'!B26:C26)</f>
        <v>11507</v>
      </c>
      <c r="E28" s="10">
        <f t="shared" si="0"/>
        <v>2.7185528258826697</v>
      </c>
      <c r="F28" s="10">
        <f t="shared" si="1"/>
        <v>20597.472576763728</v>
      </c>
      <c r="G28" s="10">
        <f t="shared" si="2"/>
        <v>0.33897178172073072</v>
      </c>
      <c r="H28" s="10">
        <f t="shared" si="3"/>
        <v>-0.5822128319787625</v>
      </c>
    </row>
    <row r="29" spans="1:8" x14ac:dyDescent="0.35">
      <c r="A29" s="13">
        <v>23</v>
      </c>
      <c r="B29" s="13">
        <v>2007</v>
      </c>
      <c r="C29" s="14">
        <f>AVERAGE('SR VPA'!V27:W27)</f>
        <v>49376</v>
      </c>
      <c r="D29" s="13">
        <f>AVERAGE('SR VPA'!B27:C27)</f>
        <v>19229</v>
      </c>
      <c r="E29" s="10">
        <f t="shared" si="0"/>
        <v>3.3142703718619959</v>
      </c>
      <c r="F29" s="10">
        <f t="shared" si="1"/>
        <v>20600.917661465901</v>
      </c>
      <c r="G29" s="10">
        <f t="shared" si="2"/>
        <v>4.7494240575383971E-3</v>
      </c>
      <c r="H29" s="10">
        <f t="shared" si="3"/>
        <v>-6.8916065308013738E-2</v>
      </c>
    </row>
    <row r="30" spans="1:8" x14ac:dyDescent="0.35">
      <c r="A30" s="13">
        <v>24</v>
      </c>
      <c r="B30" s="13">
        <v>2008</v>
      </c>
      <c r="C30" s="14">
        <f>AVERAGE('SR VPA'!V28:W28)</f>
        <v>44707</v>
      </c>
      <c r="D30" s="13">
        <f>AVERAGE('SR VPA'!B28:C28)</f>
        <v>4379</v>
      </c>
      <c r="E30" s="10">
        <f t="shared" si="0"/>
        <v>3.0008726003490409</v>
      </c>
      <c r="F30" s="10">
        <f t="shared" si="1"/>
        <v>20599.275621777677</v>
      </c>
      <c r="G30" s="10">
        <f t="shared" si="2"/>
        <v>2.3976525700236935</v>
      </c>
      <c r="H30" s="10">
        <f t="shared" si="3"/>
        <v>-1.5484355233666316</v>
      </c>
    </row>
    <row r="31" spans="1:8" x14ac:dyDescent="0.35">
      <c r="A31" s="13">
        <v>25</v>
      </c>
      <c r="B31" s="13">
        <v>2009</v>
      </c>
      <c r="C31" s="14">
        <f>AVERAGE('SR VPA'!V29:W29)</f>
        <v>37225</v>
      </c>
      <c r="D31" s="13">
        <f>AVERAGE('SR VPA'!B29:C29)</f>
        <v>4906</v>
      </c>
      <c r="E31" s="10">
        <f t="shared" si="0"/>
        <v>2.4986575379245544</v>
      </c>
      <c r="F31" s="10">
        <f t="shared" si="1"/>
        <v>20595.786223946536</v>
      </c>
      <c r="G31" s="10">
        <f t="shared" si="2"/>
        <v>2.0581562267298539</v>
      </c>
      <c r="H31" s="10">
        <f t="shared" si="3"/>
        <v>-1.4346275567999709</v>
      </c>
    </row>
    <row r="32" spans="1:8" x14ac:dyDescent="0.35">
      <c r="A32" s="13">
        <v>26</v>
      </c>
      <c r="B32" s="13">
        <v>2010</v>
      </c>
      <c r="C32" s="14">
        <f>AVERAGE('SR VPA'!V30:W30)</f>
        <v>35314</v>
      </c>
      <c r="D32" s="13">
        <f>AVERAGE('SR VPA'!B30:C30)</f>
        <v>11790</v>
      </c>
      <c r="E32" s="10">
        <f t="shared" si="0"/>
        <v>2.3703852866156536</v>
      </c>
      <c r="F32" s="10">
        <f t="shared" si="1"/>
        <v>20594.658183361622</v>
      </c>
      <c r="G32" s="10">
        <f t="shared" si="2"/>
        <v>0.31111854639612363</v>
      </c>
      <c r="H32" s="10">
        <f t="shared" si="3"/>
        <v>-0.55778001613191885</v>
      </c>
    </row>
    <row r="33" spans="1:8" x14ac:dyDescent="0.35">
      <c r="A33" s="13">
        <v>27</v>
      </c>
      <c r="B33" s="13">
        <v>2011</v>
      </c>
      <c r="C33" s="14">
        <f>AVERAGE('SR VPA'!V31:W31)</f>
        <v>25048</v>
      </c>
      <c r="D33" s="13">
        <f>AVERAGE('SR VPA'!B31:C31)</f>
        <v>34494</v>
      </c>
      <c r="E33" s="10">
        <f t="shared" si="0"/>
        <v>1.6812995032890325</v>
      </c>
      <c r="F33" s="10">
        <f t="shared" si="1"/>
        <v>20585.656716216945</v>
      </c>
      <c r="G33" s="10">
        <f t="shared" si="2"/>
        <v>0.26645298174939425</v>
      </c>
      <c r="H33" s="10">
        <f t="shared" si="3"/>
        <v>0.51619083849812186</v>
      </c>
    </row>
    <row r="34" spans="1:8" x14ac:dyDescent="0.35">
      <c r="A34" s="13">
        <v>28</v>
      </c>
      <c r="B34" s="13">
        <v>2012</v>
      </c>
      <c r="C34" s="14">
        <f>AVERAGE('SR VPA'!V32:W32)</f>
        <v>18536</v>
      </c>
      <c r="D34" s="13">
        <f>AVERAGE('SR VPA'!B32:C32)</f>
        <v>28334</v>
      </c>
      <c r="E34" s="13">
        <f t="shared" si="0"/>
        <v>1.2441938515236948</v>
      </c>
      <c r="F34" s="13">
        <f t="shared" si="1"/>
        <v>20574.789004076702</v>
      </c>
      <c r="G34" s="13">
        <f t="shared" si="2"/>
        <v>0.10239744347995908</v>
      </c>
      <c r="H34" s="13">
        <f t="shared" si="3"/>
        <v>0.31999600541250373</v>
      </c>
    </row>
    <row r="35" spans="1:8" x14ac:dyDescent="0.35">
      <c r="A35" s="13">
        <v>29</v>
      </c>
      <c r="B35" s="13">
        <v>2013</v>
      </c>
      <c r="C35" s="14">
        <f>AVERAGE('SR VPA'!V33:W33)</f>
        <v>14898</v>
      </c>
      <c r="D35" s="13">
        <f>AVERAGE('SR VPA'!B33:C33)</f>
        <v>42148</v>
      </c>
      <c r="E35" s="13">
        <f t="shared" si="0"/>
        <v>1.0000000000000002</v>
      </c>
      <c r="F35" s="13">
        <f t="shared" si="1"/>
        <v>20564.591664583801</v>
      </c>
      <c r="G35" s="13">
        <f t="shared" si="2"/>
        <v>0.51497342398617751</v>
      </c>
      <c r="H35" s="13">
        <f t="shared" si="3"/>
        <v>0.71761648809526224</v>
      </c>
    </row>
    <row r="36" spans="1:8" x14ac:dyDescent="0.35">
      <c r="A36" s="13">
        <v>30</v>
      </c>
      <c r="B36" s="13">
        <v>2014</v>
      </c>
      <c r="C36" s="14">
        <f>AVERAGE('SR VPA'!V34:W34)</f>
        <v>20195</v>
      </c>
      <c r="D36" s="13">
        <f>AVERAGE('SR VPA'!B34:C34)</f>
        <v>264205</v>
      </c>
      <c r="E36" s="13">
        <f t="shared" si="0"/>
        <v>1.3555510806819711</v>
      </c>
      <c r="F36" s="13">
        <f t="shared" si="1"/>
        <v>20578.221756120882</v>
      </c>
      <c r="G36" s="13">
        <f t="shared" si="2"/>
        <v>6.5152153932246453</v>
      </c>
      <c r="H36" s="13">
        <f t="shared" si="3"/>
        <v>2.5524919967013888</v>
      </c>
    </row>
    <row r="37" spans="1:8" x14ac:dyDescent="0.35">
      <c r="A37" s="13">
        <v>31</v>
      </c>
      <c r="B37" s="13">
        <v>2015</v>
      </c>
      <c r="C37" s="14">
        <f>AVERAGE('SR VPA'!V35:W35)</f>
        <v>21400</v>
      </c>
      <c r="D37" s="13">
        <f>AVERAGE('SR VPA'!B35:C35)</f>
        <v>74395</v>
      </c>
      <c r="E37" s="13">
        <f t="shared" si="0"/>
        <v>1.4364344207276147</v>
      </c>
      <c r="F37" s="13">
        <f t="shared" si="1"/>
        <v>20580.382002989289</v>
      </c>
      <c r="G37" s="13">
        <f t="shared" si="2"/>
        <v>1.6513546415437805</v>
      </c>
      <c r="H37" s="13">
        <f t="shared" si="3"/>
        <v>1.2850504431903758</v>
      </c>
    </row>
    <row r="38" spans="1:8" x14ac:dyDescent="0.35">
      <c r="B38" s="13"/>
      <c r="C38" s="14"/>
      <c r="D38" s="13"/>
      <c r="E38" s="13"/>
      <c r="F38" s="13"/>
      <c r="G38" s="13"/>
      <c r="H38" s="13"/>
    </row>
    <row r="39" spans="1:8" x14ac:dyDescent="0.35">
      <c r="B39" s="13"/>
      <c r="C39" s="14"/>
      <c r="D39" s="13"/>
      <c r="E39" s="13"/>
      <c r="F39" s="13"/>
      <c r="G39" s="13"/>
      <c r="H39" s="13"/>
    </row>
    <row r="40" spans="1:8" x14ac:dyDescent="0.35">
      <c r="B40" s="13"/>
      <c r="C40" s="14"/>
      <c r="D40" s="13"/>
      <c r="E40" s="13"/>
      <c r="F40" s="13"/>
      <c r="G40" s="13"/>
      <c r="H40" s="13"/>
    </row>
    <row r="41" spans="1:8" x14ac:dyDescent="0.35">
      <c r="B41" s="13"/>
      <c r="C41" s="14"/>
      <c r="D41" s="13"/>
      <c r="E41" s="13"/>
      <c r="F41" s="13"/>
      <c r="G41" s="13"/>
      <c r="H41" s="13"/>
    </row>
    <row r="42" spans="1:8" x14ac:dyDescent="0.35">
      <c r="B42" s="13"/>
      <c r="C42" s="14"/>
      <c r="D42" s="13"/>
      <c r="E42" s="13"/>
      <c r="F42" s="13"/>
      <c r="G42" s="13"/>
      <c r="H42" s="13"/>
    </row>
    <row r="43" spans="1:8" x14ac:dyDescent="0.35">
      <c r="C43" s="14"/>
      <c r="D43" s="13"/>
      <c r="E43" s="13"/>
      <c r="F43" s="13"/>
      <c r="G43" s="13"/>
      <c r="H43" s="13"/>
    </row>
    <row r="44" spans="1:8" x14ac:dyDescent="0.35">
      <c r="C44" s="14"/>
      <c r="D44" s="13"/>
      <c r="E44" s="13"/>
      <c r="F44" s="13"/>
      <c r="G44" s="13"/>
      <c r="H44" s="13"/>
    </row>
    <row r="45" spans="1:8" x14ac:dyDescent="0.35">
      <c r="C45" s="14"/>
      <c r="D45" s="13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D1" workbookViewId="0">
      <selection activeCell="H11" sqref="H11"/>
    </sheetView>
  </sheetViews>
  <sheetFormatPr defaultColWidth="8.90625" defaultRowHeight="14.5" x14ac:dyDescent="0.35"/>
  <cols>
    <col min="1" max="1" width="11.36328125" style="11" customWidth="1"/>
    <col min="2" max="5" width="8.90625" style="11"/>
    <col min="6" max="6" width="3.81640625" style="13" customWidth="1"/>
    <col min="7" max="7" width="16.6328125" style="11" customWidth="1"/>
    <col min="8" max="16384" width="8.90625" style="11"/>
  </cols>
  <sheetData>
    <row r="1" spans="1:10" x14ac:dyDescent="0.35">
      <c r="E1" s="12"/>
      <c r="F1" s="12"/>
      <c r="G1" s="22" t="s">
        <v>146</v>
      </c>
      <c r="H1" s="21"/>
      <c r="I1" s="21"/>
      <c r="J1" s="21"/>
    </row>
    <row r="2" spans="1:10" x14ac:dyDescent="0.35">
      <c r="A2" s="11" t="s">
        <v>145</v>
      </c>
      <c r="B2" s="11" t="s">
        <v>125</v>
      </c>
      <c r="C2" s="11" t="s">
        <v>11</v>
      </c>
      <c r="D2" s="11" t="s">
        <v>8</v>
      </c>
      <c r="E2" s="12" t="s">
        <v>14</v>
      </c>
      <c r="F2" s="12"/>
      <c r="H2" s="22" t="s">
        <v>11</v>
      </c>
      <c r="I2" s="22" t="s">
        <v>8</v>
      </c>
      <c r="J2" s="22" t="s">
        <v>14</v>
      </c>
    </row>
    <row r="3" spans="1:10" x14ac:dyDescent="0.35">
      <c r="A3" s="18" t="s">
        <v>139</v>
      </c>
      <c r="B3" s="19" t="s">
        <v>141</v>
      </c>
      <c r="C3" s="19">
        <v>0.32366980000000001</v>
      </c>
      <c r="D3" s="20">
        <v>67.716729999999998</v>
      </c>
      <c r="E3" s="20">
        <v>-0.37079190000000001</v>
      </c>
      <c r="F3" s="20"/>
      <c r="G3" s="22" t="str">
        <f>A3</f>
        <v>1985-1994</v>
      </c>
      <c r="H3" s="21">
        <f>AVERAGE(C3:C4)</f>
        <v>0.28624765000000002</v>
      </c>
      <c r="I3" s="21">
        <f t="shared" ref="I3:J3" si="0">AVERAGE(D3:D4)</f>
        <v>64.733315000000005</v>
      </c>
      <c r="J3" s="21">
        <f t="shared" si="0"/>
        <v>-0.52057220000000004</v>
      </c>
    </row>
    <row r="4" spans="1:10" x14ac:dyDescent="0.35">
      <c r="A4" s="20" t="s">
        <v>139</v>
      </c>
      <c r="B4" s="20" t="s">
        <v>142</v>
      </c>
      <c r="C4" s="20">
        <v>0.24882550000000001</v>
      </c>
      <c r="D4" s="20">
        <v>61.749899999999997</v>
      </c>
      <c r="E4" s="20">
        <v>-0.67035250000000002</v>
      </c>
      <c r="F4" s="20"/>
      <c r="G4" s="22" t="str">
        <f>A5</f>
        <v>1995-2004</v>
      </c>
      <c r="H4" s="21">
        <f>AVERAGE(C5:C6)</f>
        <v>0.2538588</v>
      </c>
      <c r="I4" s="21">
        <f>AVERAGE(D5:D6)</f>
        <v>61.558149999999998</v>
      </c>
      <c r="J4" s="21">
        <f>AVERAGE(E5:E6)</f>
        <v>-0.63396074999999996</v>
      </c>
    </row>
    <row r="5" spans="1:10" x14ac:dyDescent="0.35">
      <c r="A5" s="20" t="s">
        <v>143</v>
      </c>
      <c r="B5" s="20" t="s">
        <v>141</v>
      </c>
      <c r="C5" s="20">
        <v>0.26580029999999999</v>
      </c>
      <c r="D5" s="20">
        <v>66.128590000000003</v>
      </c>
      <c r="E5" s="20">
        <v>-0.52571619999999997</v>
      </c>
      <c r="F5" s="20"/>
      <c r="G5" s="22" t="str">
        <f>A7</f>
        <v>2005-2013</v>
      </c>
      <c r="H5" s="21">
        <f>AVERAGE(C7:C8)</f>
        <v>0.32235504999999998</v>
      </c>
      <c r="I5" s="21">
        <f>AVERAGE(D7:D8)</f>
        <v>52.518124999999998</v>
      </c>
      <c r="J5" s="21">
        <f>AVERAGE(E7:E8)</f>
        <v>-0.64351059999999993</v>
      </c>
    </row>
    <row r="6" spans="1:10" x14ac:dyDescent="0.35">
      <c r="A6" s="20" t="s">
        <v>143</v>
      </c>
      <c r="B6" s="20" t="s">
        <v>142</v>
      </c>
      <c r="C6" s="20">
        <v>0.2419173</v>
      </c>
      <c r="D6" s="20">
        <v>56.98771</v>
      </c>
      <c r="E6" s="20">
        <v>-0.74220529999999996</v>
      </c>
      <c r="F6" s="20"/>
      <c r="G6" s="21"/>
      <c r="H6" s="21"/>
      <c r="I6" s="21"/>
      <c r="J6" s="21"/>
    </row>
    <row r="7" spans="1:10" x14ac:dyDescent="0.35">
      <c r="A7" s="20" t="s">
        <v>144</v>
      </c>
      <c r="B7" s="20" t="s">
        <v>140</v>
      </c>
      <c r="C7" s="20">
        <v>0.3560932</v>
      </c>
      <c r="D7" s="20">
        <v>54.192630000000001</v>
      </c>
      <c r="E7" s="20">
        <v>-0.543296</v>
      </c>
      <c r="F7" s="20"/>
    </row>
    <row r="8" spans="1:10" x14ac:dyDescent="0.35">
      <c r="A8" s="20" t="s">
        <v>144</v>
      </c>
      <c r="B8" s="20" t="s">
        <v>142</v>
      </c>
      <c r="C8" s="20">
        <v>0.28861690000000001</v>
      </c>
      <c r="D8" s="20">
        <v>50.843620000000001</v>
      </c>
      <c r="E8" s="20">
        <v>-0.74372519999999998</v>
      </c>
      <c r="F8" s="20"/>
    </row>
  </sheetData>
  <pageMargins left="0.7" right="0.7" top="0.75" bottom="0.75" header="0.3" footer="0.3"/>
  <pageSetup orientation="portrait" verticalDpi="0" r:id="rId1"/>
  <ignoredErrors>
    <ignoredError sqref="H3:H4 H5 I3:J5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"/>
  <sheetViews>
    <sheetView workbookViewId="0">
      <selection activeCell="D3" sqref="D3"/>
    </sheetView>
  </sheetViews>
  <sheetFormatPr defaultRowHeight="14.5" x14ac:dyDescent="0.35"/>
  <cols>
    <col min="2" max="2" width="12" bestFit="1" customWidth="1"/>
    <col min="3" max="6" width="11" style="11" customWidth="1"/>
    <col min="7" max="7" width="13.36328125" customWidth="1"/>
    <col min="10" max="10" width="10.6328125" bestFit="1" customWidth="1"/>
  </cols>
  <sheetData>
    <row r="1" spans="1:16" s="11" customFormat="1" x14ac:dyDescent="0.35">
      <c r="A1" s="11" t="s">
        <v>3</v>
      </c>
      <c r="B1" s="11">
        <v>0.2</v>
      </c>
      <c r="I1" s="11" t="s">
        <v>3</v>
      </c>
      <c r="J1" s="11">
        <v>0.6</v>
      </c>
    </row>
    <row r="2" spans="1:16" s="11" customFormat="1" x14ac:dyDescent="0.35">
      <c r="A2" s="11" t="s">
        <v>2</v>
      </c>
      <c r="B2" s="11">
        <f>SR!D4*1000</f>
        <v>20564591.664583802</v>
      </c>
      <c r="D2" s="11">
        <f>B2/1000</f>
        <v>20564.591664583801</v>
      </c>
      <c r="I2" s="11" t="s">
        <v>2</v>
      </c>
      <c r="J2" s="11">
        <f>B2</f>
        <v>20564591.664583802</v>
      </c>
    </row>
    <row r="3" spans="1:16" s="11" customFormat="1" x14ac:dyDescent="0.35">
      <c r="A3" s="11" t="s">
        <v>116</v>
      </c>
      <c r="B3" s="11">
        <v>2.5</v>
      </c>
      <c r="I3" s="11" t="s">
        <v>116</v>
      </c>
      <c r="J3" s="11">
        <v>2.5</v>
      </c>
    </row>
    <row r="4" spans="1:16" s="11" customFormat="1" x14ac:dyDescent="0.35">
      <c r="A4" s="11" t="s">
        <v>117</v>
      </c>
      <c r="B4" s="11">
        <v>0.25</v>
      </c>
      <c r="I4" s="11" t="s">
        <v>117</v>
      </c>
      <c r="J4" s="11">
        <v>0.25</v>
      </c>
    </row>
    <row r="5" spans="1:16" s="11" customFormat="1" x14ac:dyDescent="0.35">
      <c r="A5" s="11" t="s">
        <v>118</v>
      </c>
      <c r="B5" s="11">
        <v>0.28599999999999998</v>
      </c>
      <c r="I5" s="11" t="s">
        <v>118</v>
      </c>
      <c r="J5" s="11">
        <f>B5</f>
        <v>0.28599999999999998</v>
      </c>
    </row>
    <row r="6" spans="1:16" s="11" customFormat="1" x14ac:dyDescent="0.35">
      <c r="A6" s="11" t="s">
        <v>8</v>
      </c>
      <c r="B6" s="11">
        <v>64.733000000000004</v>
      </c>
      <c r="I6" s="11" t="s">
        <v>8</v>
      </c>
      <c r="J6" s="11">
        <f>B6</f>
        <v>64.733000000000004</v>
      </c>
    </row>
    <row r="7" spans="1:16" s="13" customFormat="1" x14ac:dyDescent="0.35">
      <c r="A7" s="13" t="s">
        <v>14</v>
      </c>
      <c r="B7" s="13">
        <v>-0.52049999999999996</v>
      </c>
      <c r="I7" s="13" t="str">
        <f>A7</f>
        <v>t0</v>
      </c>
      <c r="J7" s="13">
        <f>B7</f>
        <v>-0.52049999999999996</v>
      </c>
    </row>
    <row r="8" spans="1:16" s="11" customFormat="1" x14ac:dyDescent="0.35">
      <c r="A8" s="11" t="s">
        <v>16</v>
      </c>
      <c r="B8" s="11">
        <f>Stock!B29</f>
        <v>7.4224601435718222E-6</v>
      </c>
      <c r="I8" s="11" t="s">
        <v>16</v>
      </c>
      <c r="J8" s="11">
        <v>6.9999999999999999E-6</v>
      </c>
    </row>
    <row r="9" spans="1:16" s="11" customFormat="1" x14ac:dyDescent="0.35">
      <c r="A9" s="11" t="s">
        <v>17</v>
      </c>
      <c r="B9" s="11">
        <f>Stock!B30</f>
        <v>3.0880000000000001</v>
      </c>
      <c r="I9" s="11" t="s">
        <v>17</v>
      </c>
      <c r="J9" s="11">
        <v>3.08</v>
      </c>
    </row>
    <row r="10" spans="1:16" x14ac:dyDescent="0.35">
      <c r="A10" t="s">
        <v>115</v>
      </c>
      <c r="B10" s="13" t="s">
        <v>3</v>
      </c>
      <c r="C10" t="s">
        <v>119</v>
      </c>
      <c r="D10" s="11" t="s">
        <v>120</v>
      </c>
      <c r="E10" s="11" t="s">
        <v>121</v>
      </c>
      <c r="F10" s="11" t="s">
        <v>3</v>
      </c>
      <c r="G10" s="11" t="s">
        <v>108</v>
      </c>
      <c r="J10" s="11" t="s">
        <v>115</v>
      </c>
      <c r="K10" s="11" t="s">
        <v>119</v>
      </c>
      <c r="L10" s="11" t="s">
        <v>120</v>
      </c>
      <c r="M10" s="11" t="s">
        <v>121</v>
      </c>
      <c r="N10" s="11" t="s">
        <v>3</v>
      </c>
      <c r="O10" s="11" t="s">
        <v>108</v>
      </c>
      <c r="P10" s="11"/>
    </row>
    <row r="11" spans="1:16" x14ac:dyDescent="0.35">
      <c r="A11">
        <v>1</v>
      </c>
      <c r="B11" s="13">
        <v>0.2</v>
      </c>
      <c r="C11" s="16">
        <f>B2</f>
        <v>20564591.664583802</v>
      </c>
      <c r="D11" s="11">
        <f t="shared" ref="D11:D30" si="0">B$6*(1-EXP(-B$5*(A11-$B$7)))</f>
        <v>22.827875697248789</v>
      </c>
      <c r="E11" s="11">
        <f t="shared" ref="E11:E30" si="1">B$8*D11^B$9</f>
        <v>0.11627579975899649</v>
      </c>
      <c r="F11" s="11">
        <f t="shared" ref="F11:F30" si="2">1/(1+EXP((B$3-A11)/B$4))</f>
        <v>2.4726231566347743E-3</v>
      </c>
      <c r="G11" s="11">
        <f>F11*E11*C11</f>
        <v>5912.4483246260952</v>
      </c>
      <c r="H11" s="11"/>
      <c r="J11" s="11">
        <v>1</v>
      </c>
      <c r="K11" s="11">
        <f>J2</f>
        <v>20564591.664583802</v>
      </c>
      <c r="L11" s="13">
        <f t="shared" ref="L11:L30" si="3">J$6*(1-EXP(-J$5*(J11-$J$7)))</f>
        <v>22.827875697248789</v>
      </c>
      <c r="M11" s="11">
        <f t="shared" ref="M11:M30" si="4">J$8*L11^J$9</f>
        <v>0.10694778076319582</v>
      </c>
      <c r="N11" s="11">
        <f t="shared" ref="N11:N30" si="5">1/(1+EXP((J$3-J11)/J$4))</f>
        <v>2.4726231566347743E-3</v>
      </c>
      <c r="O11" s="11">
        <f>N11*M11*K11</f>
        <v>5438.1326854465424</v>
      </c>
      <c r="P11" s="11"/>
    </row>
    <row r="12" spans="1:16" x14ac:dyDescent="0.35">
      <c r="A12">
        <v>2</v>
      </c>
      <c r="B12" s="13">
        <v>0.2</v>
      </c>
      <c r="C12" s="16">
        <f>C11*EXP(-B11)</f>
        <v>16836863.620285884</v>
      </c>
      <c r="D12" s="13">
        <f t="shared" si="0"/>
        <v>33.251246694735705</v>
      </c>
      <c r="E12" s="11">
        <f t="shared" si="1"/>
        <v>0.37144179672236866</v>
      </c>
      <c r="F12" s="11">
        <f t="shared" si="2"/>
        <v>0.11920292202211755</v>
      </c>
      <c r="G12" s="11">
        <f t="shared" ref="G12:G30" si="6">F12*E12*C12</f>
        <v>745484.92709277</v>
      </c>
      <c r="J12" s="11">
        <v>2</v>
      </c>
      <c r="K12" s="11">
        <f>K11*EXP(-B$1)</f>
        <v>16836863.620285884</v>
      </c>
      <c r="L12" s="13">
        <f t="shared" si="3"/>
        <v>33.251246694735705</v>
      </c>
      <c r="M12" s="11">
        <f t="shared" si="4"/>
        <v>0.34061712091246005</v>
      </c>
      <c r="N12" s="11">
        <f t="shared" si="5"/>
        <v>0.11920292202211755</v>
      </c>
      <c r="O12" s="11">
        <f t="shared" ref="O12:O20" si="7">N12*M12*K12</f>
        <v>683619.69975007616</v>
      </c>
      <c r="P12" s="11"/>
    </row>
    <row r="13" spans="1:16" x14ac:dyDescent="0.35">
      <c r="A13" s="11">
        <v>3</v>
      </c>
      <c r="B13" s="13">
        <v>0.2</v>
      </c>
      <c r="C13" s="16">
        <f t="shared" ref="C13:C30" si="8">C12*EXP(-B12)</f>
        <v>13784858.031307938</v>
      </c>
      <c r="D13" s="13">
        <f t="shared" si="0"/>
        <v>41.081935657292611</v>
      </c>
      <c r="E13" s="11">
        <f t="shared" si="1"/>
        <v>0.71367724102302221</v>
      </c>
      <c r="F13" s="11">
        <f t="shared" si="2"/>
        <v>0.88079707797788231</v>
      </c>
      <c r="G13" s="11">
        <f t="shared" si="6"/>
        <v>8665228.3188380357</v>
      </c>
      <c r="H13" s="11"/>
      <c r="J13" s="11">
        <v>3</v>
      </c>
      <c r="K13" s="13">
        <f>K12*EXP(-B$1)</f>
        <v>13784858.031307938</v>
      </c>
      <c r="L13" s="13">
        <f t="shared" si="3"/>
        <v>41.081935657292611</v>
      </c>
      <c r="M13" s="11">
        <f t="shared" si="4"/>
        <v>0.65334535233461766</v>
      </c>
      <c r="N13" s="11">
        <f t="shared" si="5"/>
        <v>0.88079707797788231</v>
      </c>
      <c r="O13" s="11">
        <f t="shared" si="7"/>
        <v>7932698.8778790459</v>
      </c>
      <c r="P13" s="11"/>
    </row>
    <row r="14" spans="1:16" x14ac:dyDescent="0.35">
      <c r="A14" s="11">
        <v>4</v>
      </c>
      <c r="B14" s="13">
        <v>0.2</v>
      </c>
      <c r="C14" s="16">
        <f t="shared" si="8"/>
        <v>11286087.197045814</v>
      </c>
      <c r="D14" s="13">
        <f t="shared" si="0"/>
        <v>46.964839531969531</v>
      </c>
      <c r="E14" s="11">
        <f t="shared" si="1"/>
        <v>1.078903030010139</v>
      </c>
      <c r="F14" s="11">
        <f t="shared" si="2"/>
        <v>0.99752737684336534</v>
      </c>
      <c r="G14" s="11">
        <f>F14*E14*C14</f>
        <v>12146485.546364469</v>
      </c>
      <c r="H14" s="11"/>
      <c r="J14" s="11">
        <v>4</v>
      </c>
      <c r="K14" s="13">
        <f>K13*EXP(-B$1)</f>
        <v>11286087.197045814</v>
      </c>
      <c r="L14" s="13">
        <f t="shared" si="3"/>
        <v>46.964839531969531</v>
      </c>
      <c r="M14" s="11">
        <f t="shared" si="4"/>
        <v>0.98663926692534132</v>
      </c>
      <c r="N14" s="11">
        <f t="shared" si="5"/>
        <v>0.99752737684336534</v>
      </c>
      <c r="O14" s="11">
        <f t="shared" si="7"/>
        <v>11107763.405828672</v>
      </c>
      <c r="P14" s="11"/>
    </row>
    <row r="15" spans="1:16" x14ac:dyDescent="0.35">
      <c r="A15" s="11">
        <v>5</v>
      </c>
      <c r="B15" s="13">
        <v>0.2</v>
      </c>
      <c r="C15" s="16">
        <f t="shared" si="8"/>
        <v>9240266.6701410878</v>
      </c>
      <c r="D15" s="13">
        <f t="shared" si="0"/>
        <v>51.384445286223382</v>
      </c>
      <c r="E15" s="11">
        <f t="shared" si="1"/>
        <v>1.4242823058376488</v>
      </c>
      <c r="F15" s="11">
        <f t="shared" si="2"/>
        <v>0.99995460213129761</v>
      </c>
      <c r="G15" s="11">
        <f t="shared" si="6"/>
        <v>13160150.849579088</v>
      </c>
      <c r="H15" s="11"/>
      <c r="J15" s="11">
        <v>5</v>
      </c>
      <c r="K15" s="13">
        <f>K14*EXP(-B$1)</f>
        <v>9240266.6701410878</v>
      </c>
      <c r="L15" s="13">
        <f t="shared" si="3"/>
        <v>51.384445286223382</v>
      </c>
      <c r="M15" s="11">
        <f t="shared" si="4"/>
        <v>1.3015462085149361</v>
      </c>
      <c r="N15" s="11">
        <f t="shared" si="5"/>
        <v>0.99995460213129761</v>
      </c>
      <c r="O15" s="11">
        <f t="shared" si="7"/>
        <v>12026088.066635525</v>
      </c>
      <c r="P15" s="11"/>
    </row>
    <row r="16" spans="1:16" x14ac:dyDescent="0.35">
      <c r="A16" s="11">
        <v>6</v>
      </c>
      <c r="B16" s="13">
        <v>0.2</v>
      </c>
      <c r="C16" s="16">
        <f t="shared" si="8"/>
        <v>7565290.4894859884</v>
      </c>
      <c r="D16" s="13">
        <f t="shared" si="0"/>
        <v>54.704729866618045</v>
      </c>
      <c r="E16" s="11">
        <f t="shared" si="1"/>
        <v>1.7280993105907878</v>
      </c>
      <c r="F16" s="11">
        <f t="shared" si="2"/>
        <v>0.99999916847197223</v>
      </c>
      <c r="G16" s="11">
        <f t="shared" si="6"/>
        <v>13073562.408257175</v>
      </c>
      <c r="H16" s="11"/>
      <c r="J16" s="11">
        <v>6</v>
      </c>
      <c r="K16" s="11">
        <f t="shared" ref="K16:K30" si="9">K15*EXP(-J$1)</f>
        <v>5071165.8691852316</v>
      </c>
      <c r="L16" s="13">
        <f t="shared" si="3"/>
        <v>54.704729866618045</v>
      </c>
      <c r="M16" s="11">
        <f t="shared" si="4"/>
        <v>1.5783912463798222</v>
      </c>
      <c r="N16" s="11">
        <f t="shared" si="5"/>
        <v>0.99999916847197223</v>
      </c>
      <c r="O16" s="11">
        <f t="shared" si="7"/>
        <v>8004277.1610757569</v>
      </c>
      <c r="P16" s="11"/>
    </row>
    <row r="17" spans="1:16" x14ac:dyDescent="0.35">
      <c r="A17" s="11">
        <v>7</v>
      </c>
      <c r="B17" s="13">
        <v>0.2</v>
      </c>
      <c r="C17" s="16">
        <f t="shared" si="8"/>
        <v>6193935.9797105566</v>
      </c>
      <c r="D17" s="13">
        <f t="shared" si="0"/>
        <v>57.199135546173444</v>
      </c>
      <c r="E17" s="11">
        <f t="shared" si="1"/>
        <v>1.9832001342772005</v>
      </c>
      <c r="F17" s="11">
        <f t="shared" si="2"/>
        <v>0.9999999847700205</v>
      </c>
      <c r="G17" s="11">
        <f t="shared" si="6"/>
        <v>12283814.479584113</v>
      </c>
      <c r="H17" s="11"/>
      <c r="J17" s="11">
        <v>7</v>
      </c>
      <c r="K17" s="11">
        <f t="shared" si="9"/>
        <v>2783114.8375717322</v>
      </c>
      <c r="L17" s="13">
        <f t="shared" si="3"/>
        <v>57.199135546173444</v>
      </c>
      <c r="M17" s="11">
        <f t="shared" si="4"/>
        <v>1.8107462447988096</v>
      </c>
      <c r="N17" s="11">
        <f t="shared" si="5"/>
        <v>0.9999999847700205</v>
      </c>
      <c r="O17" s="11">
        <f t="shared" si="7"/>
        <v>5039514.6642251574</v>
      </c>
      <c r="P17" s="11"/>
    </row>
    <row r="18" spans="1:16" x14ac:dyDescent="0.35">
      <c r="A18" s="11">
        <v>8</v>
      </c>
      <c r="B18" s="13">
        <v>0.2</v>
      </c>
      <c r="C18" s="16">
        <f t="shared" si="8"/>
        <v>5071165.8691852307</v>
      </c>
      <c r="D18" s="13">
        <f t="shared" si="0"/>
        <v>59.073089282229006</v>
      </c>
      <c r="E18" s="11">
        <f t="shared" si="1"/>
        <v>2.1907822634541367</v>
      </c>
      <c r="F18" s="11">
        <f t="shared" si="2"/>
        <v>0.99999999972105313</v>
      </c>
      <c r="G18" s="11">
        <f>F18*E18*C18</f>
        <v>11109820.238145934</v>
      </c>
      <c r="H18" s="11"/>
      <c r="J18" s="11">
        <v>8</v>
      </c>
      <c r="K18" s="11">
        <f t="shared" si="9"/>
        <v>1527405.8074453028</v>
      </c>
      <c r="L18" s="13">
        <f t="shared" si="3"/>
        <v>59.073089282229006</v>
      </c>
      <c r="M18" s="11">
        <f t="shared" si="4"/>
        <v>1.9997617835375605</v>
      </c>
      <c r="N18" s="11">
        <f t="shared" si="5"/>
        <v>0.99999999972105313</v>
      </c>
      <c r="O18" s="11">
        <f t="shared" si="7"/>
        <v>3054447.7608304177</v>
      </c>
      <c r="P18" s="11"/>
    </row>
    <row r="19" spans="1:16" x14ac:dyDescent="0.35">
      <c r="A19" s="11">
        <v>9</v>
      </c>
      <c r="B19" s="13">
        <v>0.2</v>
      </c>
      <c r="C19" s="16">
        <f t="shared" si="8"/>
        <v>4151919.451061382</v>
      </c>
      <c r="D19" s="13">
        <f t="shared" si="0"/>
        <v>60.48092066814155</v>
      </c>
      <c r="E19" s="11">
        <f t="shared" si="1"/>
        <v>2.3560552665899648</v>
      </c>
      <c r="F19" s="11">
        <f t="shared" si="2"/>
        <v>0.99999999999489098</v>
      </c>
      <c r="G19" s="11">
        <f t="shared" si="6"/>
        <v>9782151.6890805084</v>
      </c>
      <c r="H19" s="11"/>
      <c r="J19" s="11">
        <v>9</v>
      </c>
      <c r="K19" s="11">
        <f t="shared" si="9"/>
        <v>838258.08016357408</v>
      </c>
      <c r="L19" s="13">
        <f t="shared" si="3"/>
        <v>60.48092066814155</v>
      </c>
      <c r="M19" s="11">
        <f t="shared" si="4"/>
        <v>2.1502189857183116</v>
      </c>
      <c r="N19" s="11">
        <f t="shared" si="5"/>
        <v>0.99999999999489098</v>
      </c>
      <c r="O19" s="11">
        <f t="shared" si="7"/>
        <v>1802438.4388902907</v>
      </c>
      <c r="P19" s="11"/>
    </row>
    <row r="20" spans="1:16" x14ac:dyDescent="0.35">
      <c r="A20" s="11">
        <v>10</v>
      </c>
      <c r="B20" s="13">
        <v>0.9</v>
      </c>
      <c r="C20" s="16">
        <f t="shared" si="8"/>
        <v>3399304.1388866063</v>
      </c>
      <c r="D20" s="13">
        <f t="shared" si="0"/>
        <v>61.538571757934328</v>
      </c>
      <c r="E20" s="11">
        <f t="shared" si="1"/>
        <v>2.4856219999163383</v>
      </c>
      <c r="F20" s="11">
        <f t="shared" si="2"/>
        <v>0.99999999999990652</v>
      </c>
      <c r="G20" s="11">
        <f t="shared" si="6"/>
        <v>8449385.1520224232</v>
      </c>
      <c r="H20" s="11"/>
      <c r="J20" s="11">
        <v>10</v>
      </c>
      <c r="K20" s="11">
        <f t="shared" si="9"/>
        <v>460045.78844360862</v>
      </c>
      <c r="L20" s="13">
        <f t="shared" si="3"/>
        <v>61.538571757934328</v>
      </c>
      <c r="M20" s="11">
        <f t="shared" si="4"/>
        <v>2.2681515572255564</v>
      </c>
      <c r="N20" s="11">
        <f t="shared" si="5"/>
        <v>0.99999999999990652</v>
      </c>
      <c r="O20" s="11">
        <f t="shared" si="7"/>
        <v>1043453.5714533323</v>
      </c>
      <c r="P20" s="11"/>
    </row>
    <row r="21" spans="1:16" x14ac:dyDescent="0.35">
      <c r="A21" s="11">
        <v>11</v>
      </c>
      <c r="B21" s="13">
        <v>0.9</v>
      </c>
      <c r="C21" s="16">
        <f t="shared" si="8"/>
        <v>1382053.9271019378</v>
      </c>
      <c r="D21" s="13">
        <f t="shared" si="0"/>
        <v>62.333145482411133</v>
      </c>
      <c r="E21" s="11">
        <f t="shared" si="1"/>
        <v>2.5860700166945203</v>
      </c>
      <c r="F21" s="11">
        <f t="shared" si="2"/>
        <v>0.99999999999999822</v>
      </c>
      <c r="G21" s="11">
        <f>F21*E21*C21</f>
        <v>3574088.2223332296</v>
      </c>
      <c r="H21" s="11"/>
      <c r="J21" s="11">
        <v>11</v>
      </c>
      <c r="K21" s="11">
        <f t="shared" si="9"/>
        <v>252478.48183390318</v>
      </c>
      <c r="L21" s="13">
        <f t="shared" si="3"/>
        <v>62.333145482411133</v>
      </c>
      <c r="M21" s="11">
        <f t="shared" si="4"/>
        <v>2.3595690580579558</v>
      </c>
      <c r="N21" s="11">
        <f t="shared" si="5"/>
        <v>0.99999999999999822</v>
      </c>
      <c r="O21" s="11">
        <f>N21*M21*K21</f>
        <v>595740.41356072458</v>
      </c>
      <c r="P21" s="11"/>
    </row>
    <row r="22" spans="1:16" x14ac:dyDescent="0.35">
      <c r="A22" s="11">
        <v>12</v>
      </c>
      <c r="B22" s="13">
        <v>0.9</v>
      </c>
      <c r="C22" s="16">
        <f t="shared" si="8"/>
        <v>561901.1948849936</v>
      </c>
      <c r="D22" s="13">
        <f t="shared" si="0"/>
        <v>62.930079017224237</v>
      </c>
      <c r="E22" s="11">
        <f t="shared" si="1"/>
        <v>2.6633131525178695</v>
      </c>
      <c r="F22" s="11">
        <f t="shared" si="2"/>
        <v>1</v>
      </c>
      <c r="G22" s="11">
        <f t="shared" si="6"/>
        <v>1496518.84275271</v>
      </c>
      <c r="H22" s="11"/>
      <c r="J22" s="11">
        <v>12</v>
      </c>
      <c r="K22" s="11">
        <f t="shared" si="9"/>
        <v>138563.12869380033</v>
      </c>
      <c r="L22" s="13">
        <f t="shared" si="3"/>
        <v>62.930079017224237</v>
      </c>
      <c r="M22" s="11">
        <f t="shared" si="4"/>
        <v>2.4298615753895012</v>
      </c>
      <c r="N22" s="11">
        <f t="shared" si="5"/>
        <v>1</v>
      </c>
      <c r="O22" s="11">
        <f t="shared" ref="O22:O30" si="10">N22*M22*K22</f>
        <v>336689.22217881586</v>
      </c>
      <c r="P22" s="11"/>
    </row>
    <row r="23" spans="1:16" x14ac:dyDescent="0.35">
      <c r="A23" s="11">
        <v>13</v>
      </c>
      <c r="B23" s="13">
        <v>0.9</v>
      </c>
      <c r="C23" s="16">
        <f t="shared" si="8"/>
        <v>228451.97761222793</v>
      </c>
      <c r="D23" s="13">
        <f t="shared" si="0"/>
        <v>63.378532866134357</v>
      </c>
      <c r="E23" s="11">
        <f t="shared" si="1"/>
        <v>2.7223585959966243</v>
      </c>
      <c r="F23" s="11">
        <f t="shared" si="2"/>
        <v>1</v>
      </c>
      <c r="G23" s="11">
        <f t="shared" si="6"/>
        <v>621928.2050250771</v>
      </c>
      <c r="H23" s="11"/>
      <c r="J23" s="11">
        <v>13</v>
      </c>
      <c r="K23" s="11">
        <f t="shared" si="9"/>
        <v>76045.0573607517</v>
      </c>
      <c r="L23" s="13">
        <f t="shared" si="3"/>
        <v>63.378532866134357</v>
      </c>
      <c r="M23" s="11">
        <f t="shared" si="4"/>
        <v>2.4835903248680196</v>
      </c>
      <c r="N23" s="11">
        <f t="shared" si="5"/>
        <v>1</v>
      </c>
      <c r="O23" s="11">
        <f t="shared" si="10"/>
        <v>188864.76871519649</v>
      </c>
      <c r="P23" s="11"/>
    </row>
    <row r="24" spans="1:16" x14ac:dyDescent="0.35">
      <c r="A24" s="11">
        <v>14</v>
      </c>
      <c r="B24" s="13">
        <v>0.9</v>
      </c>
      <c r="C24" s="16">
        <f t="shared" si="8"/>
        <v>92881.642804870469</v>
      </c>
      <c r="D24" s="13">
        <f t="shared" si="0"/>
        <v>63.715439477798007</v>
      </c>
      <c r="E24" s="11">
        <f t="shared" si="1"/>
        <v>2.7672949806082854</v>
      </c>
      <c r="F24" s="11">
        <f t="shared" si="2"/>
        <v>1</v>
      </c>
      <c r="G24" s="11">
        <f t="shared" si="6"/>
        <v>257030.90392456972</v>
      </c>
      <c r="H24" s="11"/>
      <c r="J24" s="11">
        <v>14</v>
      </c>
      <c r="K24" s="11">
        <f t="shared" si="9"/>
        <v>41734.412347018224</v>
      </c>
      <c r="L24" s="13">
        <f t="shared" si="3"/>
        <v>63.715439477798007</v>
      </c>
      <c r="M24" s="11">
        <f t="shared" si="4"/>
        <v>2.5244784263718802</v>
      </c>
      <c r="N24" s="11">
        <f t="shared" si="5"/>
        <v>1</v>
      </c>
      <c r="O24" s="11">
        <f t="shared" si="10"/>
        <v>105357.62360735574</v>
      </c>
      <c r="P24" s="11"/>
    </row>
    <row r="25" spans="1:16" x14ac:dyDescent="0.35">
      <c r="A25" s="11">
        <v>15</v>
      </c>
      <c r="B25" s="13">
        <v>0.9</v>
      </c>
      <c r="C25" s="16">
        <f t="shared" si="8"/>
        <v>37762.857911324056</v>
      </c>
      <c r="D25" s="13">
        <f t="shared" si="0"/>
        <v>63.968544820206255</v>
      </c>
      <c r="E25" s="11">
        <f t="shared" si="1"/>
        <v>2.8013820253688886</v>
      </c>
      <c r="F25" s="11">
        <f t="shared" si="2"/>
        <v>1</v>
      </c>
      <c r="G25" s="11">
        <f t="shared" si="6"/>
        <v>105788.19137934253</v>
      </c>
      <c r="H25" s="11"/>
      <c r="J25" s="11">
        <v>15</v>
      </c>
      <c r="K25" s="11">
        <f t="shared" si="9"/>
        <v>22904.331121589807</v>
      </c>
      <c r="L25" s="13">
        <f t="shared" si="3"/>
        <v>63.968544820206255</v>
      </c>
      <c r="M25" s="11">
        <f t="shared" si="4"/>
        <v>2.5554934476073972</v>
      </c>
      <c r="N25" s="11">
        <f t="shared" si="5"/>
        <v>1</v>
      </c>
      <c r="O25" s="11">
        <f t="shared" si="10"/>
        <v>58531.868103052933</v>
      </c>
      <c r="P25" s="11"/>
    </row>
    <row r="26" spans="1:16" x14ac:dyDescent="0.35">
      <c r="A26" s="11">
        <v>16</v>
      </c>
      <c r="B26" s="13">
        <v>0.9</v>
      </c>
      <c r="C26" s="16">
        <f t="shared" si="8"/>
        <v>15353.232291839613</v>
      </c>
      <c r="D26" s="13">
        <f t="shared" si="0"/>
        <v>64.158693401854009</v>
      </c>
      <c r="E26" s="11">
        <f t="shared" si="1"/>
        <v>2.8271763027890646</v>
      </c>
      <c r="F26" s="11">
        <f t="shared" si="2"/>
        <v>1</v>
      </c>
      <c r="G26" s="11">
        <f t="shared" si="6"/>
        <v>43406.294506704791</v>
      </c>
      <c r="H26" s="11"/>
      <c r="J26" s="11">
        <v>16</v>
      </c>
      <c r="K26" s="11">
        <f t="shared" si="9"/>
        <v>12570.163436479028</v>
      </c>
      <c r="L26" s="13">
        <f t="shared" si="3"/>
        <v>64.158693401854009</v>
      </c>
      <c r="M26" s="11">
        <f t="shared" si="4"/>
        <v>2.578962419304732</v>
      </c>
      <c r="N26" s="11">
        <f t="shared" si="5"/>
        <v>1</v>
      </c>
      <c r="O26" s="11">
        <f t="shared" si="10"/>
        <v>32417.97910719784</v>
      </c>
      <c r="P26" s="11"/>
    </row>
    <row r="27" spans="1:16" x14ac:dyDescent="0.35">
      <c r="A27" s="11">
        <v>17</v>
      </c>
      <c r="B27" s="13">
        <v>0.9</v>
      </c>
      <c r="C27" s="16">
        <f t="shared" si="8"/>
        <v>6242.1584288116101</v>
      </c>
      <c r="D27" s="13">
        <f t="shared" si="0"/>
        <v>64.301544922721291</v>
      </c>
      <c r="E27" s="11">
        <f t="shared" si="1"/>
        <v>2.8466598801928411</v>
      </c>
      <c r="F27" s="11">
        <f t="shared" si="2"/>
        <v>1</v>
      </c>
      <c r="G27" s="11">
        <f t="shared" si="6"/>
        <v>17769.301965105591</v>
      </c>
      <c r="H27" s="11"/>
      <c r="J27" s="11">
        <v>17</v>
      </c>
      <c r="K27" s="11">
        <f t="shared" si="9"/>
        <v>6898.6519615433645</v>
      </c>
      <c r="L27" s="13">
        <f t="shared" si="3"/>
        <v>64.301544922721291</v>
      </c>
      <c r="M27" s="11">
        <f t="shared" si="4"/>
        <v>2.5966892207279564</v>
      </c>
      <c r="N27" s="11">
        <f t="shared" si="5"/>
        <v>1</v>
      </c>
      <c r="O27" s="11">
        <f t="shared" si="10"/>
        <v>17913.655186093427</v>
      </c>
      <c r="P27" s="11"/>
    </row>
    <row r="28" spans="1:16" x14ac:dyDescent="0.35">
      <c r="A28" s="11">
        <v>18</v>
      </c>
      <c r="B28" s="13">
        <v>0.9</v>
      </c>
      <c r="C28" s="16">
        <f t="shared" si="8"/>
        <v>2537.872228448849</v>
      </c>
      <c r="D28" s="13">
        <f t="shared" si="0"/>
        <v>64.408863929980029</v>
      </c>
      <c r="E28" s="11">
        <f t="shared" si="1"/>
        <v>2.8613567429475917</v>
      </c>
      <c r="F28" s="11">
        <f t="shared" si="2"/>
        <v>1</v>
      </c>
      <c r="G28" s="11">
        <f t="shared" si="6"/>
        <v>7261.7578136115453</v>
      </c>
      <c r="H28" s="11"/>
      <c r="J28" s="11">
        <v>18</v>
      </c>
      <c r="K28" s="11">
        <f t="shared" si="9"/>
        <v>3786.0604698578782</v>
      </c>
      <c r="L28" s="13">
        <f t="shared" si="3"/>
        <v>64.408863929980029</v>
      </c>
      <c r="M28" s="11">
        <f t="shared" si="4"/>
        <v>2.6100607031736689</v>
      </c>
      <c r="N28" s="11">
        <f t="shared" si="5"/>
        <v>1</v>
      </c>
      <c r="O28" s="11">
        <f t="shared" si="10"/>
        <v>9881.8476522152851</v>
      </c>
      <c r="P28" s="11"/>
    </row>
    <row r="29" spans="1:16" x14ac:dyDescent="0.35">
      <c r="A29" s="11">
        <v>19</v>
      </c>
      <c r="B29" s="13">
        <v>0.9</v>
      </c>
      <c r="C29" s="16">
        <f t="shared" si="8"/>
        <v>1031.8218483855646</v>
      </c>
      <c r="D29" s="13">
        <f t="shared" si="0"/>
        <v>64.489488688114051</v>
      </c>
      <c r="E29" s="11">
        <f t="shared" si="1"/>
        <v>2.872431635621242</v>
      </c>
      <c r="F29" s="11">
        <f t="shared" si="2"/>
        <v>1</v>
      </c>
      <c r="G29" s="11">
        <f t="shared" si="6"/>
        <v>2963.8377196278807</v>
      </c>
      <c r="H29" s="11" t="s">
        <v>123</v>
      </c>
      <c r="J29" s="11">
        <v>19</v>
      </c>
      <c r="K29" s="11">
        <f t="shared" si="9"/>
        <v>2077.8340408136205</v>
      </c>
      <c r="L29" s="13">
        <f t="shared" si="3"/>
        <v>64.489488688114051</v>
      </c>
      <c r="M29" s="11">
        <f t="shared" si="4"/>
        <v>2.6201367314388735</v>
      </c>
      <c r="N29" s="11">
        <f t="shared" si="5"/>
        <v>1</v>
      </c>
      <c r="O29" s="11">
        <f t="shared" si="10"/>
        <v>5444.2092921698268</v>
      </c>
      <c r="P29" s="11" t="s">
        <v>123</v>
      </c>
    </row>
    <row r="30" spans="1:16" x14ac:dyDescent="0.35">
      <c r="A30" s="11">
        <v>20</v>
      </c>
      <c r="B30" s="13">
        <v>0.9</v>
      </c>
      <c r="C30" s="16">
        <f t="shared" si="8"/>
        <v>419.50745781103507</v>
      </c>
      <c r="D30" s="13">
        <f t="shared" si="0"/>
        <v>64.550059054819911</v>
      </c>
      <c r="E30" s="11">
        <f t="shared" si="1"/>
        <v>2.8807708290591543</v>
      </c>
      <c r="F30" s="11">
        <f t="shared" si="2"/>
        <v>1</v>
      </c>
      <c r="G30" s="11">
        <f t="shared" si="6"/>
        <v>1208.5048470347938</v>
      </c>
      <c r="H30" s="11">
        <f>SUM(G11:G30)/1000</f>
        <v>95549.960119556141</v>
      </c>
      <c r="J30" s="11">
        <v>20</v>
      </c>
      <c r="K30" s="11">
        <f t="shared" si="9"/>
        <v>1140.3394994707851</v>
      </c>
      <c r="L30" s="13">
        <f t="shared" si="3"/>
        <v>64.550059054819911</v>
      </c>
      <c r="M30" s="11">
        <f t="shared" si="4"/>
        <v>2.6277237316380417</v>
      </c>
      <c r="N30" s="11">
        <f t="shared" si="5"/>
        <v>1</v>
      </c>
      <c r="O30" s="11">
        <f t="shared" si="10"/>
        <v>2996.4971648836281</v>
      </c>
      <c r="P30" s="11">
        <f>SUM(O11:O30)/1000</f>
        <v>52053.577863821425</v>
      </c>
    </row>
    <row r="31" spans="1:16" x14ac:dyDescent="0.35">
      <c r="B31" s="13"/>
      <c r="C31"/>
      <c r="G31" s="11"/>
    </row>
    <row r="32" spans="1:16" x14ac:dyDescent="0.35">
      <c r="B32" s="13"/>
      <c r="C32" s="30">
        <f>C30/C11</f>
        <v>2.0399503411171929E-5</v>
      </c>
      <c r="G32" s="11" t="s">
        <v>166</v>
      </c>
      <c r="H32">
        <f>SR!C37/H30</f>
        <v>0.22396660315947195</v>
      </c>
      <c r="P32" s="13">
        <f>8137/P30</f>
        <v>0.15631970623205566</v>
      </c>
    </row>
    <row r="33" spans="7:8" x14ac:dyDescent="0.35">
      <c r="G33" t="s">
        <v>165</v>
      </c>
      <c r="H33">
        <f>SR!C7/SSB0!H30</f>
        <v>0.44249102717675109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zoomScale="70" zoomScaleNormal="70" workbookViewId="0">
      <selection activeCell="O33" sqref="O33:P33"/>
    </sheetView>
  </sheetViews>
  <sheetFormatPr defaultColWidth="8.90625" defaultRowHeight="14.5" x14ac:dyDescent="0.35"/>
  <cols>
    <col min="1" max="16384" width="8.90625" style="13"/>
  </cols>
  <sheetData>
    <row r="1" spans="1:25" x14ac:dyDescent="0.35">
      <c r="A1" s="3" t="s">
        <v>155</v>
      </c>
    </row>
    <row r="2" spans="1:25" ht="43.75" customHeight="1" thickBot="1" x14ac:dyDescent="0.4">
      <c r="A2" s="31" t="s">
        <v>156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</row>
    <row r="3" spans="1:25" ht="15" thickBot="1" x14ac:dyDescent="0.4">
      <c r="A3" s="23"/>
      <c r="B3" s="23"/>
      <c r="C3" s="33"/>
      <c r="D3" s="33"/>
      <c r="E3" s="33"/>
      <c r="F3" s="33"/>
      <c r="G3" s="33"/>
      <c r="H3" s="33"/>
      <c r="I3" s="33"/>
      <c r="J3" s="33"/>
      <c r="K3" s="33"/>
      <c r="L3" s="34" t="s">
        <v>115</v>
      </c>
      <c r="M3" s="34"/>
      <c r="N3" s="33"/>
      <c r="O3" s="33"/>
      <c r="P3" s="33"/>
      <c r="Q3" s="33"/>
      <c r="R3" s="33"/>
      <c r="S3" s="33"/>
      <c r="T3" s="33"/>
      <c r="U3" s="35"/>
      <c r="V3" s="35"/>
      <c r="W3" s="35"/>
      <c r="X3" s="35"/>
      <c r="Y3" s="24"/>
    </row>
    <row r="4" spans="1:25" ht="15" thickBot="1" x14ac:dyDescent="0.4">
      <c r="A4" s="25" t="s">
        <v>145</v>
      </c>
      <c r="B4" s="36">
        <v>1</v>
      </c>
      <c r="C4" s="36"/>
      <c r="D4" s="36">
        <v>2</v>
      </c>
      <c r="E4" s="36"/>
      <c r="F4" s="36">
        <v>3</v>
      </c>
      <c r="G4" s="36"/>
      <c r="H4" s="36">
        <v>4</v>
      </c>
      <c r="I4" s="36"/>
      <c r="J4" s="26">
        <v>5</v>
      </c>
      <c r="K4" s="36">
        <v>6</v>
      </c>
      <c r="L4" s="36"/>
      <c r="M4" s="36">
        <v>7</v>
      </c>
      <c r="N4" s="36"/>
      <c r="O4" s="36">
        <v>8</v>
      </c>
      <c r="P4" s="36"/>
      <c r="Q4" s="36">
        <v>9</v>
      </c>
      <c r="R4" s="36"/>
      <c r="S4" s="26">
        <v>10</v>
      </c>
      <c r="T4" s="36">
        <v>11</v>
      </c>
      <c r="U4" s="36"/>
      <c r="V4" s="38" t="s">
        <v>157</v>
      </c>
      <c r="W4" s="38"/>
      <c r="X4" s="39"/>
      <c r="Y4" s="39"/>
    </row>
    <row r="5" spans="1:25" x14ac:dyDescent="0.35">
      <c r="A5" s="27">
        <v>1985</v>
      </c>
      <c r="B5" s="40">
        <v>11675</v>
      </c>
      <c r="C5" s="40"/>
      <c r="D5" s="40">
        <v>11547</v>
      </c>
      <c r="E5" s="40"/>
      <c r="F5" s="40">
        <v>25796</v>
      </c>
      <c r="G5" s="40"/>
      <c r="H5" s="40">
        <v>11808</v>
      </c>
      <c r="I5" s="40"/>
      <c r="J5" s="27">
        <v>16614</v>
      </c>
      <c r="K5" s="40">
        <v>5483</v>
      </c>
      <c r="L5" s="40"/>
      <c r="M5" s="40">
        <v>2616</v>
      </c>
      <c r="N5" s="40"/>
      <c r="O5" s="40">
        <v>1877</v>
      </c>
      <c r="P5" s="40"/>
      <c r="Q5" s="40">
        <v>811</v>
      </c>
      <c r="R5" s="40"/>
      <c r="S5" s="27">
        <v>539</v>
      </c>
      <c r="T5" s="40">
        <v>260</v>
      </c>
      <c r="U5" s="40"/>
      <c r="V5" s="40">
        <v>42280</v>
      </c>
      <c r="W5" s="40"/>
      <c r="X5" s="39"/>
      <c r="Y5" s="39"/>
    </row>
    <row r="6" spans="1:25" x14ac:dyDescent="0.35">
      <c r="A6" s="27">
        <v>1986</v>
      </c>
      <c r="B6" s="37">
        <v>5513</v>
      </c>
      <c r="C6" s="37"/>
      <c r="D6" s="37">
        <v>9556</v>
      </c>
      <c r="E6" s="37"/>
      <c r="F6" s="37">
        <v>8760</v>
      </c>
      <c r="G6" s="37"/>
      <c r="H6" s="37">
        <v>17717</v>
      </c>
      <c r="I6" s="37"/>
      <c r="J6" s="27">
        <v>8509</v>
      </c>
      <c r="K6" s="37">
        <v>10147</v>
      </c>
      <c r="L6" s="37"/>
      <c r="M6" s="37">
        <v>3214</v>
      </c>
      <c r="N6" s="37"/>
      <c r="O6" s="37">
        <v>1527</v>
      </c>
      <c r="P6" s="37"/>
      <c r="Q6" s="37">
        <v>1112</v>
      </c>
      <c r="R6" s="37"/>
      <c r="S6" s="27">
        <v>310</v>
      </c>
      <c r="T6" s="37">
        <v>233</v>
      </c>
      <c r="U6" s="37"/>
      <c r="V6" s="37">
        <v>40872</v>
      </c>
      <c r="W6" s="37"/>
      <c r="X6" s="39"/>
      <c r="Y6" s="39"/>
    </row>
    <row r="7" spans="1:25" x14ac:dyDescent="0.35">
      <c r="A7" s="27">
        <v>1987</v>
      </c>
      <c r="B7" s="37">
        <v>7527</v>
      </c>
      <c r="C7" s="37"/>
      <c r="D7" s="37">
        <v>4513</v>
      </c>
      <c r="E7" s="37"/>
      <c r="F7" s="37">
        <v>7330</v>
      </c>
      <c r="G7" s="37"/>
      <c r="H7" s="37">
        <v>5852</v>
      </c>
      <c r="I7" s="37"/>
      <c r="J7" s="27">
        <v>10927</v>
      </c>
      <c r="K7" s="37">
        <v>5365</v>
      </c>
      <c r="L7" s="37"/>
      <c r="M7" s="37">
        <v>5919</v>
      </c>
      <c r="N7" s="37"/>
      <c r="O7" s="37">
        <v>2012</v>
      </c>
      <c r="P7" s="37"/>
      <c r="Q7" s="37">
        <v>906</v>
      </c>
      <c r="R7" s="37"/>
      <c r="S7" s="27">
        <v>656</v>
      </c>
      <c r="T7" s="37">
        <v>222</v>
      </c>
      <c r="U7" s="37"/>
      <c r="V7" s="37">
        <v>34967</v>
      </c>
      <c r="W7" s="37"/>
      <c r="X7" s="39"/>
      <c r="Y7" s="39"/>
    </row>
    <row r="8" spans="1:25" x14ac:dyDescent="0.35">
      <c r="A8" s="27">
        <v>1988</v>
      </c>
      <c r="B8" s="37">
        <v>23615</v>
      </c>
      <c r="C8" s="37"/>
      <c r="D8" s="37">
        <v>6163</v>
      </c>
      <c r="E8" s="37"/>
      <c r="F8" s="37">
        <v>3555</v>
      </c>
      <c r="G8" s="37"/>
      <c r="H8" s="37">
        <v>5144</v>
      </c>
      <c r="I8" s="37"/>
      <c r="J8" s="27">
        <v>3662</v>
      </c>
      <c r="K8" s="37">
        <v>6009</v>
      </c>
      <c r="L8" s="37"/>
      <c r="M8" s="37">
        <v>3267</v>
      </c>
      <c r="N8" s="37"/>
      <c r="O8" s="37">
        <v>2851</v>
      </c>
      <c r="P8" s="37"/>
      <c r="Q8" s="37">
        <v>1126</v>
      </c>
      <c r="R8" s="37"/>
      <c r="S8" s="27">
        <v>541</v>
      </c>
      <c r="T8" s="37">
        <v>421</v>
      </c>
      <c r="U8" s="37"/>
      <c r="V8" s="37">
        <v>28558</v>
      </c>
      <c r="W8" s="37"/>
      <c r="X8" s="39"/>
      <c r="Y8" s="39"/>
    </row>
    <row r="9" spans="1:25" x14ac:dyDescent="0.35">
      <c r="A9" s="27">
        <v>1989</v>
      </c>
      <c r="B9" s="37">
        <v>21688</v>
      </c>
      <c r="C9" s="37"/>
      <c r="D9" s="37">
        <v>19326</v>
      </c>
      <c r="E9" s="37"/>
      <c r="F9" s="37">
        <v>4890</v>
      </c>
      <c r="G9" s="37"/>
      <c r="H9" s="37">
        <v>2489</v>
      </c>
      <c r="I9" s="37"/>
      <c r="J9" s="27">
        <v>3372</v>
      </c>
      <c r="K9" s="37">
        <v>2185</v>
      </c>
      <c r="L9" s="37"/>
      <c r="M9" s="37">
        <v>3270</v>
      </c>
      <c r="N9" s="37"/>
      <c r="O9" s="37">
        <v>1919</v>
      </c>
      <c r="P9" s="37"/>
      <c r="Q9" s="37">
        <v>1485</v>
      </c>
      <c r="R9" s="37"/>
      <c r="S9" s="27">
        <v>544</v>
      </c>
      <c r="T9" s="37">
        <v>307</v>
      </c>
      <c r="U9" s="37"/>
      <c r="V9" s="37">
        <v>20830</v>
      </c>
      <c r="W9" s="37"/>
      <c r="X9" s="39"/>
      <c r="Y9" s="39"/>
    </row>
    <row r="10" spans="1:25" x14ac:dyDescent="0.35">
      <c r="A10" s="27">
        <v>1990</v>
      </c>
      <c r="B10" s="37">
        <v>7137</v>
      </c>
      <c r="C10" s="37"/>
      <c r="D10" s="37">
        <v>17756</v>
      </c>
      <c r="E10" s="37"/>
      <c r="F10" s="37">
        <v>15716</v>
      </c>
      <c r="G10" s="37"/>
      <c r="H10" s="37">
        <v>3588</v>
      </c>
      <c r="I10" s="37"/>
      <c r="J10" s="27">
        <v>1626</v>
      </c>
      <c r="K10" s="37">
        <v>2019</v>
      </c>
      <c r="L10" s="37"/>
      <c r="M10" s="37">
        <v>1467</v>
      </c>
      <c r="N10" s="37"/>
      <c r="O10" s="37">
        <v>1926</v>
      </c>
      <c r="P10" s="37"/>
      <c r="Q10" s="37">
        <v>1182</v>
      </c>
      <c r="R10" s="37"/>
      <c r="S10" s="27">
        <v>789</v>
      </c>
      <c r="T10" s="37">
        <v>322</v>
      </c>
      <c r="U10" s="37"/>
      <c r="V10" s="37">
        <v>19273</v>
      </c>
      <c r="W10" s="37"/>
      <c r="X10" s="39"/>
      <c r="Y10" s="39"/>
    </row>
    <row r="11" spans="1:25" x14ac:dyDescent="0.35">
      <c r="A11" s="27">
        <v>1991</v>
      </c>
      <c r="B11" s="37">
        <v>11419</v>
      </c>
      <c r="C11" s="37"/>
      <c r="D11" s="37">
        <v>5843</v>
      </c>
      <c r="E11" s="37"/>
      <c r="F11" s="37">
        <v>14254</v>
      </c>
      <c r="G11" s="37"/>
      <c r="H11" s="37">
        <v>11712</v>
      </c>
      <c r="I11" s="37"/>
      <c r="J11" s="27">
        <v>2591</v>
      </c>
      <c r="K11" s="37">
        <v>996</v>
      </c>
      <c r="L11" s="37"/>
      <c r="M11" s="37">
        <v>1160</v>
      </c>
      <c r="N11" s="37"/>
      <c r="O11" s="37">
        <v>821</v>
      </c>
      <c r="P11" s="37"/>
      <c r="Q11" s="37">
        <v>920</v>
      </c>
      <c r="R11" s="37"/>
      <c r="S11" s="27">
        <v>692</v>
      </c>
      <c r="T11" s="37">
        <v>561</v>
      </c>
      <c r="U11" s="37"/>
      <c r="V11" s="37">
        <v>26557</v>
      </c>
      <c r="W11" s="37"/>
      <c r="X11" s="39"/>
      <c r="Y11" s="39"/>
    </row>
    <row r="12" spans="1:25" x14ac:dyDescent="0.35">
      <c r="A12" s="27">
        <v>1992</v>
      </c>
      <c r="B12" s="37">
        <v>14553</v>
      </c>
      <c r="C12" s="37"/>
      <c r="D12" s="37">
        <v>9348</v>
      </c>
      <c r="E12" s="37"/>
      <c r="F12" s="37">
        <v>4743</v>
      </c>
      <c r="G12" s="37"/>
      <c r="H12" s="37">
        <v>10721</v>
      </c>
      <c r="I12" s="37"/>
      <c r="J12" s="27">
        <v>7333</v>
      </c>
      <c r="K12" s="37">
        <v>1542</v>
      </c>
      <c r="L12" s="37"/>
      <c r="M12" s="37">
        <v>496</v>
      </c>
      <c r="N12" s="37"/>
      <c r="O12" s="37">
        <v>608</v>
      </c>
      <c r="P12" s="37"/>
      <c r="Q12" s="37">
        <v>422</v>
      </c>
      <c r="R12" s="37"/>
      <c r="S12" s="27">
        <v>449</v>
      </c>
      <c r="T12" s="37">
        <v>436</v>
      </c>
      <c r="U12" s="37"/>
      <c r="V12" s="37">
        <v>29301</v>
      </c>
      <c r="W12" s="37"/>
      <c r="X12" s="39"/>
      <c r="Y12" s="39"/>
    </row>
    <row r="13" spans="1:25" x14ac:dyDescent="0.35">
      <c r="A13" s="27">
        <v>1993</v>
      </c>
      <c r="B13" s="37">
        <v>22515</v>
      </c>
      <c r="C13" s="37"/>
      <c r="D13" s="37">
        <v>11888</v>
      </c>
      <c r="E13" s="37"/>
      <c r="F13" s="37">
        <v>7474</v>
      </c>
      <c r="G13" s="37"/>
      <c r="H13" s="37">
        <v>3647</v>
      </c>
      <c r="I13" s="37"/>
      <c r="J13" s="27">
        <v>6352</v>
      </c>
      <c r="K13" s="37">
        <v>3889</v>
      </c>
      <c r="L13" s="37"/>
      <c r="M13" s="37">
        <v>1071</v>
      </c>
      <c r="N13" s="37"/>
      <c r="O13" s="37">
        <v>191</v>
      </c>
      <c r="P13" s="37"/>
      <c r="Q13" s="37">
        <v>186</v>
      </c>
      <c r="R13" s="37"/>
      <c r="S13" s="27">
        <v>136</v>
      </c>
      <c r="T13" s="37">
        <v>221</v>
      </c>
      <c r="U13" s="37"/>
      <c r="V13" s="37">
        <v>21340</v>
      </c>
      <c r="W13" s="37"/>
      <c r="X13" s="39"/>
      <c r="Y13" s="39"/>
    </row>
    <row r="14" spans="1:25" x14ac:dyDescent="0.35">
      <c r="A14" s="27">
        <v>1994</v>
      </c>
      <c r="B14" s="37">
        <v>31531</v>
      </c>
      <c r="C14" s="37"/>
      <c r="D14" s="37">
        <v>18434</v>
      </c>
      <c r="E14" s="37"/>
      <c r="F14" s="37">
        <v>9611</v>
      </c>
      <c r="G14" s="37"/>
      <c r="H14" s="37">
        <v>5451</v>
      </c>
      <c r="I14" s="37"/>
      <c r="J14" s="27">
        <v>2476</v>
      </c>
      <c r="K14" s="37">
        <v>3572</v>
      </c>
      <c r="L14" s="37"/>
      <c r="M14" s="37">
        <v>2157</v>
      </c>
      <c r="N14" s="37"/>
      <c r="O14" s="37">
        <v>704</v>
      </c>
      <c r="P14" s="37"/>
      <c r="Q14" s="37">
        <v>69</v>
      </c>
      <c r="R14" s="37"/>
      <c r="S14" s="27">
        <v>86</v>
      </c>
      <c r="T14" s="37">
        <v>135</v>
      </c>
      <c r="U14" s="37"/>
      <c r="V14" s="37">
        <v>19762</v>
      </c>
      <c r="W14" s="37"/>
      <c r="X14" s="39"/>
      <c r="Y14" s="39"/>
    </row>
    <row r="15" spans="1:25" x14ac:dyDescent="0.35">
      <c r="A15" s="27">
        <v>1995</v>
      </c>
      <c r="B15" s="37">
        <v>30880</v>
      </c>
      <c r="C15" s="37"/>
      <c r="D15" s="37">
        <v>25808</v>
      </c>
      <c r="E15" s="37"/>
      <c r="F15" s="37">
        <v>14953</v>
      </c>
      <c r="G15" s="37"/>
      <c r="H15" s="37">
        <v>7465</v>
      </c>
      <c r="I15" s="37"/>
      <c r="J15" s="27">
        <v>3842</v>
      </c>
      <c r="K15" s="37">
        <v>1755</v>
      </c>
      <c r="L15" s="37"/>
      <c r="M15" s="37">
        <v>2072</v>
      </c>
      <c r="N15" s="37"/>
      <c r="O15" s="37">
        <v>1536</v>
      </c>
      <c r="P15" s="37"/>
      <c r="Q15" s="37">
        <v>557</v>
      </c>
      <c r="R15" s="37"/>
      <c r="S15" s="27">
        <v>45</v>
      </c>
      <c r="T15" s="37">
        <v>132</v>
      </c>
      <c r="U15" s="37"/>
      <c r="V15" s="37">
        <v>23534</v>
      </c>
      <c r="W15" s="37"/>
      <c r="X15" s="39"/>
      <c r="Y15" s="39"/>
    </row>
    <row r="16" spans="1:25" x14ac:dyDescent="0.35">
      <c r="A16" s="27">
        <v>1996</v>
      </c>
      <c r="B16" s="37">
        <v>19597</v>
      </c>
      <c r="C16" s="37"/>
      <c r="D16" s="37">
        <v>25282</v>
      </c>
      <c r="E16" s="37"/>
      <c r="F16" s="37">
        <v>21079</v>
      </c>
      <c r="G16" s="37"/>
      <c r="H16" s="37">
        <v>11489</v>
      </c>
      <c r="I16" s="37"/>
      <c r="J16" s="27">
        <v>5358</v>
      </c>
      <c r="K16" s="37">
        <v>2552</v>
      </c>
      <c r="L16" s="37"/>
      <c r="M16" s="37">
        <v>1172</v>
      </c>
      <c r="N16" s="37"/>
      <c r="O16" s="37">
        <v>1217</v>
      </c>
      <c r="P16" s="37"/>
      <c r="Q16" s="37">
        <v>924</v>
      </c>
      <c r="R16" s="37"/>
      <c r="S16" s="27">
        <v>327</v>
      </c>
      <c r="T16" s="37">
        <v>59</v>
      </c>
      <c r="U16" s="37"/>
      <c r="V16" s="37">
        <v>29894</v>
      </c>
      <c r="W16" s="37"/>
      <c r="X16" s="39"/>
      <c r="Y16" s="39"/>
    </row>
    <row r="17" spans="1:25" x14ac:dyDescent="0.35">
      <c r="A17" s="27">
        <v>1997</v>
      </c>
      <c r="B17" s="37">
        <v>13438</v>
      </c>
      <c r="C17" s="37"/>
      <c r="D17" s="37">
        <v>16044</v>
      </c>
      <c r="E17" s="37"/>
      <c r="F17" s="37">
        <v>20673</v>
      </c>
      <c r="G17" s="37"/>
      <c r="H17" s="37">
        <v>16365</v>
      </c>
      <c r="I17" s="37"/>
      <c r="J17" s="27">
        <v>8429</v>
      </c>
      <c r="K17" s="37">
        <v>3781</v>
      </c>
      <c r="L17" s="37"/>
      <c r="M17" s="37">
        <v>1704</v>
      </c>
      <c r="N17" s="37"/>
      <c r="O17" s="37">
        <v>645</v>
      </c>
      <c r="P17" s="37"/>
      <c r="Q17" s="37">
        <v>578</v>
      </c>
      <c r="R17" s="37"/>
      <c r="S17" s="27">
        <v>419</v>
      </c>
      <c r="T17" s="37">
        <v>179</v>
      </c>
      <c r="U17" s="37"/>
      <c r="V17" s="37">
        <v>33919</v>
      </c>
      <c r="W17" s="37"/>
      <c r="X17" s="39"/>
      <c r="Y17" s="39"/>
    </row>
    <row r="18" spans="1:25" x14ac:dyDescent="0.35">
      <c r="A18" s="27">
        <v>1998</v>
      </c>
      <c r="B18" s="37">
        <v>31735</v>
      </c>
      <c r="C18" s="37"/>
      <c r="D18" s="37">
        <v>11002</v>
      </c>
      <c r="E18" s="37"/>
      <c r="F18" s="37">
        <v>13119</v>
      </c>
      <c r="G18" s="37"/>
      <c r="H18" s="37">
        <v>16404</v>
      </c>
      <c r="I18" s="37"/>
      <c r="J18" s="27">
        <v>11766</v>
      </c>
      <c r="K18" s="37">
        <v>5956</v>
      </c>
      <c r="L18" s="37"/>
      <c r="M18" s="37">
        <v>2684</v>
      </c>
      <c r="N18" s="37"/>
      <c r="O18" s="37">
        <v>1154</v>
      </c>
      <c r="P18" s="37"/>
      <c r="Q18" s="37">
        <v>397</v>
      </c>
      <c r="R18" s="37"/>
      <c r="S18" s="27">
        <v>368</v>
      </c>
      <c r="T18" s="37">
        <v>351</v>
      </c>
      <c r="U18" s="37"/>
      <c r="V18" s="37">
        <v>35554</v>
      </c>
      <c r="W18" s="37"/>
      <c r="X18" s="39"/>
      <c r="Y18" s="39"/>
    </row>
    <row r="19" spans="1:25" x14ac:dyDescent="0.35">
      <c r="A19" s="27">
        <v>1999</v>
      </c>
      <c r="B19" s="37">
        <v>53755</v>
      </c>
      <c r="C19" s="37"/>
      <c r="D19" s="37">
        <v>25982</v>
      </c>
      <c r="E19" s="37"/>
      <c r="F19" s="37">
        <v>8969</v>
      </c>
      <c r="G19" s="37"/>
      <c r="H19" s="37">
        <v>10612</v>
      </c>
      <c r="I19" s="37"/>
      <c r="J19" s="27">
        <v>12390</v>
      </c>
      <c r="K19" s="37">
        <v>7975</v>
      </c>
      <c r="L19" s="37"/>
      <c r="M19" s="37">
        <v>3794</v>
      </c>
      <c r="N19" s="37"/>
      <c r="O19" s="37">
        <v>1665</v>
      </c>
      <c r="P19" s="37"/>
      <c r="Q19" s="37">
        <v>604</v>
      </c>
      <c r="R19" s="37"/>
      <c r="S19" s="27">
        <v>170</v>
      </c>
      <c r="T19" s="37">
        <v>295</v>
      </c>
      <c r="U19" s="37"/>
      <c r="V19" s="37">
        <v>31597</v>
      </c>
      <c r="W19" s="37"/>
      <c r="X19" s="39"/>
      <c r="Y19" s="39"/>
    </row>
    <row r="20" spans="1:25" x14ac:dyDescent="0.35">
      <c r="A20" s="27">
        <v>2000</v>
      </c>
      <c r="B20" s="37">
        <v>40831</v>
      </c>
      <c r="C20" s="37"/>
      <c r="D20" s="37">
        <v>44011</v>
      </c>
      <c r="E20" s="37"/>
      <c r="F20" s="37">
        <v>21238</v>
      </c>
      <c r="G20" s="37"/>
      <c r="H20" s="37">
        <v>6924</v>
      </c>
      <c r="I20" s="37"/>
      <c r="J20" s="27">
        <v>8180</v>
      </c>
      <c r="K20" s="37">
        <v>9029</v>
      </c>
      <c r="L20" s="37"/>
      <c r="M20" s="37">
        <v>5681</v>
      </c>
      <c r="N20" s="37"/>
      <c r="O20" s="37">
        <v>2568</v>
      </c>
      <c r="P20" s="37"/>
      <c r="Q20" s="37">
        <v>1156</v>
      </c>
      <c r="R20" s="37"/>
      <c r="S20" s="27">
        <v>445</v>
      </c>
      <c r="T20" s="37">
        <v>261</v>
      </c>
      <c r="U20" s="37"/>
      <c r="V20" s="37">
        <v>31843</v>
      </c>
      <c r="W20" s="37"/>
      <c r="X20" s="39"/>
      <c r="Y20" s="39"/>
    </row>
    <row r="21" spans="1:25" x14ac:dyDescent="0.35">
      <c r="A21" s="27">
        <v>2001</v>
      </c>
      <c r="B21" s="37">
        <v>42022</v>
      </c>
      <c r="C21" s="37"/>
      <c r="D21" s="37">
        <v>33429</v>
      </c>
      <c r="E21" s="37"/>
      <c r="F21" s="37">
        <v>35804</v>
      </c>
      <c r="G21" s="37"/>
      <c r="H21" s="37">
        <v>16976</v>
      </c>
      <c r="I21" s="37"/>
      <c r="J21" s="27">
        <v>4915</v>
      </c>
      <c r="K21" s="37">
        <v>6191</v>
      </c>
      <c r="L21" s="37"/>
      <c r="M21" s="37">
        <v>6196</v>
      </c>
      <c r="N21" s="37"/>
      <c r="O21" s="37">
        <v>3814</v>
      </c>
      <c r="P21" s="37"/>
      <c r="Q21" s="37">
        <v>1600</v>
      </c>
      <c r="R21" s="37"/>
      <c r="S21" s="27">
        <v>745</v>
      </c>
      <c r="T21" s="37">
        <v>369</v>
      </c>
      <c r="U21" s="37"/>
      <c r="V21" s="37">
        <v>35513</v>
      </c>
      <c r="W21" s="37"/>
      <c r="X21" s="39"/>
      <c r="Y21" s="39"/>
    </row>
    <row r="22" spans="1:25" x14ac:dyDescent="0.35">
      <c r="A22" s="27">
        <v>2002</v>
      </c>
      <c r="B22" s="37">
        <v>19115</v>
      </c>
      <c r="C22" s="37"/>
      <c r="D22" s="37">
        <v>34405</v>
      </c>
      <c r="E22" s="37"/>
      <c r="F22" s="37">
        <v>27279</v>
      </c>
      <c r="G22" s="37"/>
      <c r="H22" s="37">
        <v>27821</v>
      </c>
      <c r="I22" s="37"/>
      <c r="J22" s="27">
        <v>12949</v>
      </c>
      <c r="K22" s="37">
        <v>3325</v>
      </c>
      <c r="L22" s="37"/>
      <c r="M22" s="37">
        <v>4486</v>
      </c>
      <c r="N22" s="37"/>
      <c r="O22" s="37">
        <v>3880</v>
      </c>
      <c r="P22" s="37"/>
      <c r="Q22" s="37">
        <v>2293</v>
      </c>
      <c r="R22" s="37"/>
      <c r="S22" s="27">
        <v>969</v>
      </c>
      <c r="T22" s="37">
        <v>667</v>
      </c>
      <c r="U22" s="37"/>
      <c r="V22" s="37">
        <v>41054</v>
      </c>
      <c r="W22" s="37"/>
      <c r="X22" s="39"/>
      <c r="Y22" s="39"/>
    </row>
    <row r="23" spans="1:25" x14ac:dyDescent="0.35">
      <c r="A23" s="27">
        <v>2003</v>
      </c>
      <c r="B23" s="37">
        <v>16676</v>
      </c>
      <c r="C23" s="37"/>
      <c r="D23" s="37">
        <v>15650</v>
      </c>
      <c r="E23" s="37"/>
      <c r="F23" s="37">
        <v>28129</v>
      </c>
      <c r="G23" s="37"/>
      <c r="H23" s="37">
        <v>21873</v>
      </c>
      <c r="I23" s="37"/>
      <c r="J23" s="27">
        <v>20472</v>
      </c>
      <c r="K23" s="37">
        <v>9961</v>
      </c>
      <c r="L23" s="37"/>
      <c r="M23" s="37">
        <v>2282</v>
      </c>
      <c r="N23" s="37"/>
      <c r="O23" s="37">
        <v>3228</v>
      </c>
      <c r="P23" s="37"/>
      <c r="Q23" s="37">
        <v>2514</v>
      </c>
      <c r="R23" s="37"/>
      <c r="S23" s="27">
        <v>1404</v>
      </c>
      <c r="T23" s="37">
        <v>879</v>
      </c>
      <c r="U23" s="37"/>
      <c r="V23" s="37">
        <v>48252</v>
      </c>
      <c r="W23" s="37"/>
      <c r="X23" s="39"/>
      <c r="Y23" s="39"/>
    </row>
    <row r="24" spans="1:25" x14ac:dyDescent="0.35">
      <c r="A24" s="27">
        <v>2004</v>
      </c>
      <c r="B24" s="37">
        <v>46487</v>
      </c>
      <c r="C24" s="37"/>
      <c r="D24" s="37">
        <v>13653</v>
      </c>
      <c r="E24" s="37"/>
      <c r="F24" s="37">
        <v>12791</v>
      </c>
      <c r="G24" s="37"/>
      <c r="H24" s="37">
        <v>22389</v>
      </c>
      <c r="I24" s="37"/>
      <c r="J24" s="27">
        <v>16528</v>
      </c>
      <c r="K24" s="37">
        <v>14159</v>
      </c>
      <c r="L24" s="37"/>
      <c r="M24" s="37">
        <v>7571</v>
      </c>
      <c r="N24" s="37"/>
      <c r="O24" s="37">
        <v>1539</v>
      </c>
      <c r="P24" s="37"/>
      <c r="Q24" s="37">
        <v>2390</v>
      </c>
      <c r="R24" s="37"/>
      <c r="S24" s="27">
        <v>1833</v>
      </c>
      <c r="T24" s="37">
        <v>1507</v>
      </c>
      <c r="U24" s="37"/>
      <c r="V24" s="37">
        <v>51126</v>
      </c>
      <c r="W24" s="37"/>
      <c r="X24" s="39"/>
      <c r="Y24" s="39"/>
    </row>
    <row r="25" spans="1:25" x14ac:dyDescent="0.35">
      <c r="A25" s="27">
        <v>2005</v>
      </c>
      <c r="B25" s="37">
        <v>15811</v>
      </c>
      <c r="C25" s="37"/>
      <c r="D25" s="37">
        <v>38060</v>
      </c>
      <c r="E25" s="37"/>
      <c r="F25" s="37">
        <v>11167</v>
      </c>
      <c r="G25" s="37"/>
      <c r="H25" s="37">
        <v>10249</v>
      </c>
      <c r="I25" s="37"/>
      <c r="J25" s="27">
        <v>17482</v>
      </c>
      <c r="K25" s="37">
        <v>12444</v>
      </c>
      <c r="L25" s="37"/>
      <c r="M25" s="37">
        <v>9954</v>
      </c>
      <c r="N25" s="37"/>
      <c r="O25" s="37">
        <v>5656</v>
      </c>
      <c r="P25" s="37"/>
      <c r="Q25" s="37">
        <v>999</v>
      </c>
      <c r="R25" s="37"/>
      <c r="S25" s="27">
        <v>1750</v>
      </c>
      <c r="T25" s="37">
        <v>2222</v>
      </c>
      <c r="U25" s="37"/>
      <c r="V25" s="37">
        <v>45248</v>
      </c>
      <c r="W25" s="37"/>
      <c r="X25" s="39"/>
      <c r="Y25" s="39"/>
    </row>
    <row r="26" spans="1:25" x14ac:dyDescent="0.35">
      <c r="A26" s="27">
        <v>2006</v>
      </c>
      <c r="B26" s="37">
        <v>11507</v>
      </c>
      <c r="C26" s="37"/>
      <c r="D26" s="37">
        <v>12945</v>
      </c>
      <c r="E26" s="37"/>
      <c r="F26" s="37">
        <v>31129</v>
      </c>
      <c r="G26" s="37"/>
      <c r="H26" s="37">
        <v>9080</v>
      </c>
      <c r="I26" s="37"/>
      <c r="J26" s="27">
        <v>7946</v>
      </c>
      <c r="K26" s="37">
        <v>12953</v>
      </c>
      <c r="L26" s="37"/>
      <c r="M26" s="37">
        <v>9136</v>
      </c>
      <c r="N26" s="37"/>
      <c r="O26" s="37">
        <v>7279</v>
      </c>
      <c r="P26" s="37"/>
      <c r="Q26" s="37">
        <v>4328</v>
      </c>
      <c r="R26" s="37"/>
      <c r="S26" s="27">
        <v>717</v>
      </c>
      <c r="T26" s="37">
        <v>2031</v>
      </c>
      <c r="U26" s="37"/>
      <c r="V26" s="37">
        <v>40501</v>
      </c>
      <c r="W26" s="37"/>
      <c r="X26" s="39"/>
      <c r="Y26" s="39"/>
    </row>
    <row r="27" spans="1:25" x14ac:dyDescent="0.35">
      <c r="A27" s="27">
        <v>2007</v>
      </c>
      <c r="B27" s="37">
        <v>19229</v>
      </c>
      <c r="C27" s="37"/>
      <c r="D27" s="37">
        <v>9421</v>
      </c>
      <c r="E27" s="37"/>
      <c r="F27" s="37">
        <v>10566</v>
      </c>
      <c r="G27" s="37"/>
      <c r="H27" s="37">
        <v>24759</v>
      </c>
      <c r="I27" s="37"/>
      <c r="J27" s="27">
        <v>7203</v>
      </c>
      <c r="K27" s="37">
        <v>5873</v>
      </c>
      <c r="L27" s="37"/>
      <c r="M27" s="37">
        <v>9703</v>
      </c>
      <c r="N27" s="37"/>
      <c r="O27" s="37">
        <v>6697</v>
      </c>
      <c r="P27" s="37"/>
      <c r="Q27" s="37">
        <v>5432</v>
      </c>
      <c r="R27" s="37"/>
      <c r="S27" s="27">
        <v>3370</v>
      </c>
      <c r="T27" s="37">
        <v>1433</v>
      </c>
      <c r="U27" s="37"/>
      <c r="V27" s="37">
        <v>49376</v>
      </c>
      <c r="W27" s="37"/>
      <c r="X27" s="39"/>
      <c r="Y27" s="39"/>
    </row>
    <row r="28" spans="1:25" x14ac:dyDescent="0.35">
      <c r="A28" s="27">
        <v>2008</v>
      </c>
      <c r="B28" s="37">
        <v>4379</v>
      </c>
      <c r="C28" s="37"/>
      <c r="D28" s="37">
        <v>15744</v>
      </c>
      <c r="E28" s="37"/>
      <c r="F28" s="37">
        <v>7527</v>
      </c>
      <c r="G28" s="37"/>
      <c r="H28" s="37">
        <v>8270</v>
      </c>
      <c r="I28" s="37"/>
      <c r="J28" s="27">
        <v>16799</v>
      </c>
      <c r="K28" s="37">
        <v>5630</v>
      </c>
      <c r="L28" s="37"/>
      <c r="M28" s="37">
        <v>4391</v>
      </c>
      <c r="N28" s="37"/>
      <c r="O28" s="37">
        <v>7230</v>
      </c>
      <c r="P28" s="37"/>
      <c r="Q28" s="37">
        <v>4976</v>
      </c>
      <c r="R28" s="37"/>
      <c r="S28" s="27">
        <v>4095</v>
      </c>
      <c r="T28" s="37">
        <v>2488</v>
      </c>
      <c r="U28" s="37"/>
      <c r="V28" s="37">
        <v>44707</v>
      </c>
      <c r="W28" s="37"/>
      <c r="X28" s="39"/>
      <c r="Y28" s="39"/>
    </row>
    <row r="29" spans="1:25" x14ac:dyDescent="0.35">
      <c r="A29" s="27">
        <v>2009</v>
      </c>
      <c r="B29" s="37">
        <v>4906</v>
      </c>
      <c r="C29" s="37"/>
      <c r="D29" s="37">
        <v>3585</v>
      </c>
      <c r="E29" s="37"/>
      <c r="F29" s="37">
        <v>12803</v>
      </c>
      <c r="G29" s="37"/>
      <c r="H29" s="37">
        <v>5867</v>
      </c>
      <c r="I29" s="37"/>
      <c r="J29" s="27">
        <v>6232</v>
      </c>
      <c r="K29" s="37">
        <v>11791</v>
      </c>
      <c r="L29" s="37"/>
      <c r="M29" s="37">
        <v>4292</v>
      </c>
      <c r="N29" s="37"/>
      <c r="O29" s="37">
        <v>3251</v>
      </c>
      <c r="P29" s="37"/>
      <c r="Q29" s="37">
        <v>5298</v>
      </c>
      <c r="R29" s="37"/>
      <c r="S29" s="27">
        <v>3637</v>
      </c>
      <c r="T29" s="37">
        <v>3308</v>
      </c>
      <c r="U29" s="37"/>
      <c r="V29" s="37">
        <v>37225</v>
      </c>
      <c r="W29" s="37"/>
      <c r="X29" s="39"/>
      <c r="Y29" s="39"/>
    </row>
    <row r="30" spans="1:25" x14ac:dyDescent="0.35">
      <c r="A30" s="27">
        <v>2010</v>
      </c>
      <c r="B30" s="37">
        <v>11790</v>
      </c>
      <c r="C30" s="37"/>
      <c r="D30" s="37">
        <v>4014</v>
      </c>
      <c r="E30" s="37"/>
      <c r="F30" s="37">
        <v>2907</v>
      </c>
      <c r="G30" s="37"/>
      <c r="H30" s="37">
        <v>10146</v>
      </c>
      <c r="I30" s="37"/>
      <c r="J30" s="27">
        <v>4348</v>
      </c>
      <c r="K30" s="37">
        <v>4572</v>
      </c>
      <c r="L30" s="37"/>
      <c r="M30" s="37">
        <v>8058</v>
      </c>
      <c r="N30" s="37"/>
      <c r="O30" s="37">
        <v>3137</v>
      </c>
      <c r="P30" s="37"/>
      <c r="Q30" s="37">
        <v>2431</v>
      </c>
      <c r="R30" s="37"/>
      <c r="S30" s="27">
        <v>3971</v>
      </c>
      <c r="T30" s="37">
        <v>3481</v>
      </c>
      <c r="U30" s="37"/>
      <c r="V30" s="37">
        <v>35314</v>
      </c>
      <c r="W30" s="37"/>
      <c r="X30" s="39"/>
      <c r="Y30" s="39"/>
    </row>
    <row r="31" spans="1:25" x14ac:dyDescent="0.35">
      <c r="A31" s="27">
        <v>2011</v>
      </c>
      <c r="B31" s="37">
        <v>34494</v>
      </c>
      <c r="C31" s="37"/>
      <c r="D31" s="37">
        <v>9653</v>
      </c>
      <c r="E31" s="37"/>
      <c r="F31" s="37">
        <v>3274</v>
      </c>
      <c r="G31" s="37"/>
      <c r="H31" s="37">
        <v>2315</v>
      </c>
      <c r="I31" s="37"/>
      <c r="J31" s="27">
        <v>7779</v>
      </c>
      <c r="K31" s="37">
        <v>3072</v>
      </c>
      <c r="L31" s="37"/>
      <c r="M31" s="37">
        <v>3082</v>
      </c>
      <c r="N31" s="37"/>
      <c r="O31" s="37">
        <v>4946</v>
      </c>
      <c r="P31" s="37"/>
      <c r="Q31" s="37">
        <v>2236</v>
      </c>
      <c r="R31" s="37"/>
      <c r="S31" s="27">
        <v>1837</v>
      </c>
      <c r="T31" s="37">
        <v>2633</v>
      </c>
      <c r="U31" s="37"/>
      <c r="V31" s="37">
        <v>25048</v>
      </c>
      <c r="W31" s="37"/>
      <c r="X31" s="39"/>
      <c r="Y31" s="39"/>
    </row>
    <row r="32" spans="1:25" x14ac:dyDescent="0.35">
      <c r="A32" s="27">
        <v>2012</v>
      </c>
      <c r="B32" s="37">
        <v>28334</v>
      </c>
      <c r="C32" s="37"/>
      <c r="D32" s="37">
        <v>28238</v>
      </c>
      <c r="E32" s="37"/>
      <c r="F32" s="37">
        <v>7842</v>
      </c>
      <c r="G32" s="37"/>
      <c r="H32" s="37">
        <v>2604</v>
      </c>
      <c r="I32" s="37"/>
      <c r="J32" s="27">
        <v>1639</v>
      </c>
      <c r="K32" s="37">
        <v>5578</v>
      </c>
      <c r="L32" s="37"/>
      <c r="M32" s="37">
        <v>2136</v>
      </c>
      <c r="N32" s="37"/>
      <c r="O32" s="37">
        <v>1961</v>
      </c>
      <c r="P32" s="37"/>
      <c r="Q32" s="37">
        <v>3335</v>
      </c>
      <c r="R32" s="37"/>
      <c r="S32" s="27">
        <v>1671</v>
      </c>
      <c r="T32" s="37">
        <v>1708</v>
      </c>
      <c r="U32" s="37"/>
      <c r="V32" s="37">
        <v>18536</v>
      </c>
      <c r="W32" s="37"/>
      <c r="X32" s="39"/>
      <c r="Y32" s="39"/>
    </row>
    <row r="33" spans="1:25" x14ac:dyDescent="0.35">
      <c r="A33" s="27">
        <v>2013</v>
      </c>
      <c r="B33" s="37">
        <v>42148</v>
      </c>
      <c r="C33" s="37"/>
      <c r="D33" s="37">
        <v>23191</v>
      </c>
      <c r="E33" s="37"/>
      <c r="F33" s="37">
        <v>22859</v>
      </c>
      <c r="G33" s="37"/>
      <c r="H33" s="37">
        <v>6143</v>
      </c>
      <c r="I33" s="37"/>
      <c r="J33" s="27">
        <v>1880</v>
      </c>
      <c r="K33" s="37">
        <v>1097</v>
      </c>
      <c r="L33" s="37"/>
      <c r="M33" s="37">
        <v>3653</v>
      </c>
      <c r="N33" s="37"/>
      <c r="O33" s="37">
        <v>1380</v>
      </c>
      <c r="P33" s="37"/>
      <c r="Q33" s="37">
        <v>1095</v>
      </c>
      <c r="R33" s="37"/>
      <c r="S33" s="27">
        <v>2099</v>
      </c>
      <c r="T33" s="37">
        <v>1128</v>
      </c>
      <c r="U33" s="37"/>
      <c r="V33" s="37">
        <v>14898</v>
      </c>
      <c r="W33" s="37"/>
      <c r="X33" s="39"/>
      <c r="Y33" s="39"/>
    </row>
    <row r="34" spans="1:25" x14ac:dyDescent="0.35">
      <c r="A34" s="27">
        <v>2014</v>
      </c>
      <c r="B34" s="37">
        <v>264205</v>
      </c>
      <c r="C34" s="37"/>
      <c r="D34" s="37">
        <v>34476</v>
      </c>
      <c r="E34" s="37"/>
      <c r="F34" s="37">
        <v>18703</v>
      </c>
      <c r="G34" s="37"/>
      <c r="H34" s="37">
        <v>17162</v>
      </c>
      <c r="I34" s="37"/>
      <c r="J34" s="27">
        <v>4568</v>
      </c>
      <c r="K34" s="37">
        <v>1323</v>
      </c>
      <c r="L34" s="37"/>
      <c r="M34" s="37">
        <v>723</v>
      </c>
      <c r="N34" s="37"/>
      <c r="O34" s="37">
        <v>2569</v>
      </c>
      <c r="P34" s="37"/>
      <c r="Q34" s="37">
        <v>843</v>
      </c>
      <c r="R34" s="37"/>
      <c r="S34" s="27">
        <v>770</v>
      </c>
      <c r="T34" s="37">
        <v>1043</v>
      </c>
      <c r="U34" s="37"/>
      <c r="V34" s="37">
        <v>20195</v>
      </c>
      <c r="W34" s="37"/>
      <c r="X34" s="39"/>
      <c r="Y34" s="39"/>
    </row>
    <row r="35" spans="1:25" x14ac:dyDescent="0.35">
      <c r="A35" s="27">
        <v>2015</v>
      </c>
      <c r="B35" s="37">
        <v>74395</v>
      </c>
      <c r="C35" s="37"/>
      <c r="D35" s="37">
        <v>216310</v>
      </c>
      <c r="E35" s="37"/>
      <c r="F35" s="37">
        <v>27944</v>
      </c>
      <c r="G35" s="37"/>
      <c r="H35" s="37">
        <v>14659</v>
      </c>
      <c r="I35" s="37"/>
      <c r="J35" s="27">
        <v>12769</v>
      </c>
      <c r="K35" s="37">
        <v>3447</v>
      </c>
      <c r="L35" s="37"/>
      <c r="M35" s="37">
        <v>972</v>
      </c>
      <c r="N35" s="37"/>
      <c r="O35" s="37">
        <v>484</v>
      </c>
      <c r="P35" s="37"/>
      <c r="Q35" s="37">
        <v>1959</v>
      </c>
      <c r="R35" s="37"/>
      <c r="S35" s="27">
        <v>589</v>
      </c>
      <c r="T35" s="37">
        <v>687</v>
      </c>
      <c r="U35" s="37"/>
      <c r="V35" s="37">
        <v>21400</v>
      </c>
      <c r="W35" s="37"/>
      <c r="X35" s="39"/>
      <c r="Y35" s="39"/>
    </row>
    <row r="36" spans="1:25" ht="15" thickBot="1" x14ac:dyDescent="0.4">
      <c r="A36" s="28">
        <v>2016</v>
      </c>
      <c r="B36" s="38" t="s">
        <v>158</v>
      </c>
      <c r="C36" s="38"/>
      <c r="D36" s="41">
        <v>60910</v>
      </c>
      <c r="E36" s="41"/>
      <c r="F36" s="41">
        <v>176773</v>
      </c>
      <c r="G36" s="41"/>
      <c r="H36" s="41">
        <v>22093</v>
      </c>
      <c r="I36" s="41"/>
      <c r="J36" s="28">
        <v>11091</v>
      </c>
      <c r="K36" s="41">
        <v>9376</v>
      </c>
      <c r="L36" s="41"/>
      <c r="M36" s="41">
        <v>2710</v>
      </c>
      <c r="N36" s="41"/>
      <c r="O36" s="41">
        <v>752</v>
      </c>
      <c r="P36" s="41"/>
      <c r="Q36" s="41">
        <v>348</v>
      </c>
      <c r="R36" s="41"/>
      <c r="S36" s="28">
        <v>1539</v>
      </c>
      <c r="T36" s="41">
        <v>490</v>
      </c>
      <c r="U36" s="41"/>
      <c r="V36" s="41">
        <v>33770</v>
      </c>
      <c r="W36" s="41"/>
      <c r="X36" s="39"/>
      <c r="Y36" s="39"/>
    </row>
  </sheetData>
  <mergeCells count="374">
    <mergeCell ref="M36:N36"/>
    <mergeCell ref="O36:P36"/>
    <mergeCell ref="Q36:R36"/>
    <mergeCell ref="T36:U36"/>
    <mergeCell ref="V36:W36"/>
    <mergeCell ref="X36:Y36"/>
    <mergeCell ref="O35:P35"/>
    <mergeCell ref="Q35:R35"/>
    <mergeCell ref="T35:U35"/>
    <mergeCell ref="V35:W35"/>
    <mergeCell ref="X35:Y35"/>
    <mergeCell ref="M35:N35"/>
    <mergeCell ref="B36:C36"/>
    <mergeCell ref="D36:E36"/>
    <mergeCell ref="F36:G36"/>
    <mergeCell ref="H36:I36"/>
    <mergeCell ref="K36:L36"/>
    <mergeCell ref="B35:C35"/>
    <mergeCell ref="D35:E35"/>
    <mergeCell ref="F35:G35"/>
    <mergeCell ref="H35:I35"/>
    <mergeCell ref="K35:L35"/>
    <mergeCell ref="M34:N34"/>
    <mergeCell ref="O34:P34"/>
    <mergeCell ref="Q34:R34"/>
    <mergeCell ref="T34:U34"/>
    <mergeCell ref="V34:W34"/>
    <mergeCell ref="X34:Y34"/>
    <mergeCell ref="O33:P33"/>
    <mergeCell ref="Q33:R33"/>
    <mergeCell ref="T33:U33"/>
    <mergeCell ref="V33:W33"/>
    <mergeCell ref="X33:Y33"/>
    <mergeCell ref="M33:N33"/>
    <mergeCell ref="B34:C34"/>
    <mergeCell ref="D34:E34"/>
    <mergeCell ref="F34:G34"/>
    <mergeCell ref="H34:I34"/>
    <mergeCell ref="K34:L34"/>
    <mergeCell ref="B33:C33"/>
    <mergeCell ref="D33:E33"/>
    <mergeCell ref="F33:G33"/>
    <mergeCell ref="H33:I33"/>
    <mergeCell ref="K33:L33"/>
    <mergeCell ref="M32:N32"/>
    <mergeCell ref="O32:P32"/>
    <mergeCell ref="Q32:R32"/>
    <mergeCell ref="T32:U32"/>
    <mergeCell ref="V32:W32"/>
    <mergeCell ref="X32:Y32"/>
    <mergeCell ref="O31:P31"/>
    <mergeCell ref="Q31:R31"/>
    <mergeCell ref="T31:U31"/>
    <mergeCell ref="V31:W31"/>
    <mergeCell ref="X31:Y31"/>
    <mergeCell ref="M31:N31"/>
    <mergeCell ref="B32:C32"/>
    <mergeCell ref="D32:E32"/>
    <mergeCell ref="F32:G32"/>
    <mergeCell ref="H32:I32"/>
    <mergeCell ref="K32:L32"/>
    <mergeCell ref="B31:C31"/>
    <mergeCell ref="D31:E31"/>
    <mergeCell ref="F31:G31"/>
    <mergeCell ref="H31:I31"/>
    <mergeCell ref="K31:L31"/>
    <mergeCell ref="M30:N30"/>
    <mergeCell ref="O30:P30"/>
    <mergeCell ref="Q30:R30"/>
    <mergeCell ref="T30:U30"/>
    <mergeCell ref="V30:W30"/>
    <mergeCell ref="X30:Y30"/>
    <mergeCell ref="O29:P29"/>
    <mergeCell ref="Q29:R29"/>
    <mergeCell ref="T29:U29"/>
    <mergeCell ref="V29:W29"/>
    <mergeCell ref="X29:Y29"/>
    <mergeCell ref="M29:N29"/>
    <mergeCell ref="B30:C30"/>
    <mergeCell ref="D30:E30"/>
    <mergeCell ref="F30:G30"/>
    <mergeCell ref="H30:I30"/>
    <mergeCell ref="K30:L30"/>
    <mergeCell ref="B29:C29"/>
    <mergeCell ref="D29:E29"/>
    <mergeCell ref="F29:G29"/>
    <mergeCell ref="H29:I29"/>
    <mergeCell ref="K29:L29"/>
    <mergeCell ref="M28:N28"/>
    <mergeCell ref="O28:P28"/>
    <mergeCell ref="Q28:R28"/>
    <mergeCell ref="T28:U28"/>
    <mergeCell ref="V28:W28"/>
    <mergeCell ref="X28:Y28"/>
    <mergeCell ref="O27:P27"/>
    <mergeCell ref="Q27:R27"/>
    <mergeCell ref="T27:U27"/>
    <mergeCell ref="V27:W27"/>
    <mergeCell ref="X27:Y27"/>
    <mergeCell ref="M27:N27"/>
    <mergeCell ref="B28:C28"/>
    <mergeCell ref="D28:E28"/>
    <mergeCell ref="F28:G28"/>
    <mergeCell ref="H28:I28"/>
    <mergeCell ref="K28:L28"/>
    <mergeCell ref="B27:C27"/>
    <mergeCell ref="D27:E27"/>
    <mergeCell ref="F27:G27"/>
    <mergeCell ref="H27:I27"/>
    <mergeCell ref="K27:L27"/>
    <mergeCell ref="M26:N26"/>
    <mergeCell ref="O26:P26"/>
    <mergeCell ref="Q26:R26"/>
    <mergeCell ref="T26:U26"/>
    <mergeCell ref="V26:W26"/>
    <mergeCell ref="X26:Y26"/>
    <mergeCell ref="O25:P25"/>
    <mergeCell ref="Q25:R25"/>
    <mergeCell ref="T25:U25"/>
    <mergeCell ref="V25:W25"/>
    <mergeCell ref="X25:Y25"/>
    <mergeCell ref="M25:N25"/>
    <mergeCell ref="B26:C26"/>
    <mergeCell ref="D26:E26"/>
    <mergeCell ref="F26:G26"/>
    <mergeCell ref="H26:I26"/>
    <mergeCell ref="K26:L26"/>
    <mergeCell ref="B25:C25"/>
    <mergeCell ref="D25:E25"/>
    <mergeCell ref="F25:G25"/>
    <mergeCell ref="H25:I25"/>
    <mergeCell ref="K25:L25"/>
    <mergeCell ref="M24:N24"/>
    <mergeCell ref="O24:P24"/>
    <mergeCell ref="Q24:R24"/>
    <mergeCell ref="T24:U24"/>
    <mergeCell ref="V24:W24"/>
    <mergeCell ref="X24:Y24"/>
    <mergeCell ref="O23:P23"/>
    <mergeCell ref="Q23:R23"/>
    <mergeCell ref="T23:U23"/>
    <mergeCell ref="V23:W23"/>
    <mergeCell ref="X23:Y23"/>
    <mergeCell ref="M23:N23"/>
    <mergeCell ref="B24:C24"/>
    <mergeCell ref="D24:E24"/>
    <mergeCell ref="F24:G24"/>
    <mergeCell ref="H24:I24"/>
    <mergeCell ref="K24:L24"/>
    <mergeCell ref="B23:C23"/>
    <mergeCell ref="D23:E23"/>
    <mergeCell ref="F23:G23"/>
    <mergeCell ref="H23:I23"/>
    <mergeCell ref="K23:L23"/>
    <mergeCell ref="M22:N22"/>
    <mergeCell ref="O22:P22"/>
    <mergeCell ref="Q22:R22"/>
    <mergeCell ref="T22:U22"/>
    <mergeCell ref="V22:W22"/>
    <mergeCell ref="X22:Y22"/>
    <mergeCell ref="O21:P21"/>
    <mergeCell ref="Q21:R21"/>
    <mergeCell ref="T21:U21"/>
    <mergeCell ref="V21:W21"/>
    <mergeCell ref="X21:Y21"/>
    <mergeCell ref="M21:N21"/>
    <mergeCell ref="B22:C22"/>
    <mergeCell ref="D22:E22"/>
    <mergeCell ref="F22:G22"/>
    <mergeCell ref="H22:I22"/>
    <mergeCell ref="K22:L22"/>
    <mergeCell ref="B21:C21"/>
    <mergeCell ref="D21:E21"/>
    <mergeCell ref="F21:G21"/>
    <mergeCell ref="H21:I21"/>
    <mergeCell ref="K21:L21"/>
    <mergeCell ref="M20:N20"/>
    <mergeCell ref="O20:P20"/>
    <mergeCell ref="Q20:R20"/>
    <mergeCell ref="T20:U20"/>
    <mergeCell ref="V20:W20"/>
    <mergeCell ref="X20:Y20"/>
    <mergeCell ref="O19:P19"/>
    <mergeCell ref="Q19:R19"/>
    <mergeCell ref="T19:U19"/>
    <mergeCell ref="V19:W19"/>
    <mergeCell ref="X19:Y19"/>
    <mergeCell ref="M19:N19"/>
    <mergeCell ref="B20:C20"/>
    <mergeCell ref="D20:E20"/>
    <mergeCell ref="F20:G20"/>
    <mergeCell ref="H20:I20"/>
    <mergeCell ref="K20:L20"/>
    <mergeCell ref="B19:C19"/>
    <mergeCell ref="D19:E19"/>
    <mergeCell ref="F19:G19"/>
    <mergeCell ref="H19:I19"/>
    <mergeCell ref="K19:L19"/>
    <mergeCell ref="M18:N18"/>
    <mergeCell ref="O18:P18"/>
    <mergeCell ref="Q18:R18"/>
    <mergeCell ref="T18:U18"/>
    <mergeCell ref="V18:W18"/>
    <mergeCell ref="X18:Y18"/>
    <mergeCell ref="O17:P17"/>
    <mergeCell ref="Q17:R17"/>
    <mergeCell ref="T17:U17"/>
    <mergeCell ref="V17:W17"/>
    <mergeCell ref="X17:Y17"/>
    <mergeCell ref="M17:N17"/>
    <mergeCell ref="B18:C18"/>
    <mergeCell ref="D18:E18"/>
    <mergeCell ref="F18:G18"/>
    <mergeCell ref="H18:I18"/>
    <mergeCell ref="K18:L18"/>
    <mergeCell ref="B17:C17"/>
    <mergeCell ref="D17:E17"/>
    <mergeCell ref="F17:G17"/>
    <mergeCell ref="H17:I17"/>
    <mergeCell ref="K17:L17"/>
    <mergeCell ref="M16:N16"/>
    <mergeCell ref="O16:P16"/>
    <mergeCell ref="Q16:R16"/>
    <mergeCell ref="T16:U16"/>
    <mergeCell ref="V16:W16"/>
    <mergeCell ref="X16:Y16"/>
    <mergeCell ref="O15:P15"/>
    <mergeCell ref="Q15:R15"/>
    <mergeCell ref="T15:U15"/>
    <mergeCell ref="V15:W15"/>
    <mergeCell ref="X15:Y15"/>
    <mergeCell ref="M15:N15"/>
    <mergeCell ref="B16:C16"/>
    <mergeCell ref="D16:E16"/>
    <mergeCell ref="F16:G16"/>
    <mergeCell ref="H16:I16"/>
    <mergeCell ref="K16:L16"/>
    <mergeCell ref="B15:C15"/>
    <mergeCell ref="D15:E15"/>
    <mergeCell ref="F15:G15"/>
    <mergeCell ref="H15:I15"/>
    <mergeCell ref="K15:L15"/>
    <mergeCell ref="M14:N14"/>
    <mergeCell ref="O14:P14"/>
    <mergeCell ref="Q14:R14"/>
    <mergeCell ref="T14:U14"/>
    <mergeCell ref="V14:W14"/>
    <mergeCell ref="X14:Y14"/>
    <mergeCell ref="O13:P13"/>
    <mergeCell ref="Q13:R13"/>
    <mergeCell ref="T13:U13"/>
    <mergeCell ref="V13:W13"/>
    <mergeCell ref="X13:Y13"/>
    <mergeCell ref="M13:N13"/>
    <mergeCell ref="B14:C14"/>
    <mergeCell ref="D14:E14"/>
    <mergeCell ref="F14:G14"/>
    <mergeCell ref="H14:I14"/>
    <mergeCell ref="K14:L14"/>
    <mergeCell ref="B13:C13"/>
    <mergeCell ref="D13:E13"/>
    <mergeCell ref="F13:G13"/>
    <mergeCell ref="H13:I13"/>
    <mergeCell ref="K13:L13"/>
    <mergeCell ref="M12:N12"/>
    <mergeCell ref="O12:P12"/>
    <mergeCell ref="Q12:R12"/>
    <mergeCell ref="T12:U12"/>
    <mergeCell ref="V12:W12"/>
    <mergeCell ref="X12:Y12"/>
    <mergeCell ref="O11:P11"/>
    <mergeCell ref="Q11:R11"/>
    <mergeCell ref="T11:U11"/>
    <mergeCell ref="V11:W11"/>
    <mergeCell ref="X11:Y11"/>
    <mergeCell ref="M11:N11"/>
    <mergeCell ref="B12:C12"/>
    <mergeCell ref="D12:E12"/>
    <mergeCell ref="F12:G12"/>
    <mergeCell ref="H12:I12"/>
    <mergeCell ref="K12:L12"/>
    <mergeCell ref="B11:C11"/>
    <mergeCell ref="D11:E11"/>
    <mergeCell ref="F11:G11"/>
    <mergeCell ref="H11:I11"/>
    <mergeCell ref="K11:L11"/>
    <mergeCell ref="M10:N10"/>
    <mergeCell ref="O10:P10"/>
    <mergeCell ref="Q10:R10"/>
    <mergeCell ref="T10:U10"/>
    <mergeCell ref="V10:W10"/>
    <mergeCell ref="X10:Y10"/>
    <mergeCell ref="O9:P9"/>
    <mergeCell ref="Q9:R9"/>
    <mergeCell ref="T9:U9"/>
    <mergeCell ref="V9:W9"/>
    <mergeCell ref="X9:Y9"/>
    <mergeCell ref="M9:N9"/>
    <mergeCell ref="B10:C10"/>
    <mergeCell ref="D10:E10"/>
    <mergeCell ref="F10:G10"/>
    <mergeCell ref="H10:I10"/>
    <mergeCell ref="K10:L10"/>
    <mergeCell ref="B9:C9"/>
    <mergeCell ref="D9:E9"/>
    <mergeCell ref="F9:G9"/>
    <mergeCell ref="H9:I9"/>
    <mergeCell ref="K9:L9"/>
    <mergeCell ref="V5:W5"/>
    <mergeCell ref="X5:Y5"/>
    <mergeCell ref="B8:C8"/>
    <mergeCell ref="D8:E8"/>
    <mergeCell ref="F8:G8"/>
    <mergeCell ref="H8:I8"/>
    <mergeCell ref="K8:L8"/>
    <mergeCell ref="B7:C7"/>
    <mergeCell ref="D7:E7"/>
    <mergeCell ref="F7:G7"/>
    <mergeCell ref="H7:I7"/>
    <mergeCell ref="K7:L7"/>
    <mergeCell ref="M8:N8"/>
    <mergeCell ref="O8:P8"/>
    <mergeCell ref="Q8:R8"/>
    <mergeCell ref="T8:U8"/>
    <mergeCell ref="V8:W8"/>
    <mergeCell ref="X8:Y8"/>
    <mergeCell ref="O7:P7"/>
    <mergeCell ref="Q7:R7"/>
    <mergeCell ref="T7:U7"/>
    <mergeCell ref="V7:W7"/>
    <mergeCell ref="X7:Y7"/>
    <mergeCell ref="M7:N7"/>
    <mergeCell ref="B6:C6"/>
    <mergeCell ref="D6:E6"/>
    <mergeCell ref="F6:G6"/>
    <mergeCell ref="H6:I6"/>
    <mergeCell ref="K6:L6"/>
    <mergeCell ref="Q4:R4"/>
    <mergeCell ref="T4:U4"/>
    <mergeCell ref="V4:W4"/>
    <mergeCell ref="X4:Y4"/>
    <mergeCell ref="B5:C5"/>
    <mergeCell ref="D5:E5"/>
    <mergeCell ref="F5:G5"/>
    <mergeCell ref="H5:I5"/>
    <mergeCell ref="K5:L5"/>
    <mergeCell ref="M5:N5"/>
    <mergeCell ref="M6:N6"/>
    <mergeCell ref="O6:P6"/>
    <mergeCell ref="Q6:R6"/>
    <mergeCell ref="T6:U6"/>
    <mergeCell ref="V6:W6"/>
    <mergeCell ref="X6:Y6"/>
    <mergeCell ref="O5:P5"/>
    <mergeCell ref="Q5:R5"/>
    <mergeCell ref="T5:U5"/>
    <mergeCell ref="U3:V3"/>
    <mergeCell ref="W3:X3"/>
    <mergeCell ref="B4:C4"/>
    <mergeCell ref="D4:E4"/>
    <mergeCell ref="F4:G4"/>
    <mergeCell ref="H4:I4"/>
    <mergeCell ref="K4:L4"/>
    <mergeCell ref="M4:N4"/>
    <mergeCell ref="O4:P4"/>
    <mergeCell ref="A2:Q2"/>
    <mergeCell ref="C3:D3"/>
    <mergeCell ref="E3:F3"/>
    <mergeCell ref="G3:H3"/>
    <mergeCell ref="I3:K3"/>
    <mergeCell ref="L3:M3"/>
    <mergeCell ref="N3:O3"/>
    <mergeCell ref="P3:Q3"/>
    <mergeCell ref="R3:T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Stock</vt:lpstr>
      <vt:lpstr>Fleet</vt:lpstr>
      <vt:lpstr>Obs</vt:lpstr>
      <vt:lpstr>Imp</vt:lpstr>
      <vt:lpstr>OM</vt:lpstr>
      <vt:lpstr>SR</vt:lpstr>
      <vt:lpstr>Growth</vt:lpstr>
      <vt:lpstr>SSB0</vt:lpstr>
      <vt:lpstr>SR VPA</vt:lpstr>
      <vt:lpstr>SR!hs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</dc:creator>
  <cp:lastModifiedBy>Thomas</cp:lastModifiedBy>
  <dcterms:created xsi:type="dcterms:W3CDTF">2017-06-29T22:07:42Z</dcterms:created>
  <dcterms:modified xsi:type="dcterms:W3CDTF">2018-04-04T15:23:55Z</dcterms:modified>
</cp:coreProperties>
</file>