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q\OneDrive\Desktop\Bootcamp\"/>
    </mc:Choice>
  </mc:AlternateContent>
  <xr:revisionPtr revIDLastSave="0" documentId="13_ncr:1_{3521458F-6B72-479F-93BF-48920E00DE03}" xr6:coauthVersionLast="47" xr6:coauthVersionMax="47" xr10:uidLastSave="{00000000-0000-0000-0000-000000000000}"/>
  <bookViews>
    <workbookView xWindow="38280" yWindow="-120" windowWidth="29040" windowHeight="16440" activeTab="5" xr2:uid="{00000000-000D-0000-FFFF-FFFF00000000}"/>
  </bookViews>
  <sheets>
    <sheet name="Sheet3" sheetId="4" r:id="rId1"/>
    <sheet name="Sheet4" sheetId="5" r:id="rId2"/>
    <sheet name="Sheet5" sheetId="10" r:id="rId3"/>
    <sheet name="Crowdfunding" sheetId="1" r:id="rId4"/>
    <sheet name="Bonus" sheetId="13" r:id="rId5"/>
    <sheet name="Bonus Statistical Anlysis" sheetId="14" r:id="rId6"/>
  </sheets>
  <definedNames>
    <definedName name="_xlnm._FilterDatabase" localSheetId="3" hidden="1">Crowdfunding!$A$1:$T$1001</definedName>
    <definedName name="_xlchart.v1.0" hidden="1">Bonus!$A$2:$A$13</definedName>
    <definedName name="_xlchart.v1.1" hidden="1">Bonus!$B$1</definedName>
    <definedName name="_xlchart.v1.10" hidden="1">Bonus!$F$2:$F$13</definedName>
    <definedName name="_xlchart.v1.11" hidden="1">Bonus!$G$1</definedName>
    <definedName name="_xlchart.v1.12" hidden="1">Bonus!$G$2:$G$13</definedName>
    <definedName name="_xlchart.v1.13" hidden="1">Bonus!$H$1</definedName>
    <definedName name="_xlchart.v1.14" hidden="1">Bonus!$H$2:$H$13</definedName>
    <definedName name="_xlchart.v1.2" hidden="1">Bonus!$B$2:$B$13</definedName>
    <definedName name="_xlchart.v1.3" hidden="1">Bonus!$C$1</definedName>
    <definedName name="_xlchart.v1.4" hidden="1">Bonus!$C$2:$C$13</definedName>
    <definedName name="_xlchart.v1.5" hidden="1">Bonus!$D$1</definedName>
    <definedName name="_xlchart.v1.6" hidden="1">Bonus!$D$2:$D$13</definedName>
    <definedName name="_xlchart.v1.7" hidden="1">Bonus!$E$1</definedName>
    <definedName name="_xlchart.v1.8" hidden="1">Bonus!$E$2:$E$13</definedName>
    <definedName name="_xlchart.v1.9" hidden="1">Bonus!$F$1</definedName>
    <definedName name="goal">Crowdfunding!$D$2:$D$1001</definedName>
    <definedName name="outcome">Crowdfunding!$G$2:$G$1001</definedName>
  </definedNames>
  <calcPr calcId="191029"/>
  <pivotCaches>
    <pivotCache cacheId="0" r:id="rId7"/>
    <pivotCache cacheId="14" r:id="rId8"/>
  </pivotCaches>
</workbook>
</file>

<file path=xl/calcChain.xml><?xml version="1.0" encoding="utf-8"?>
<calcChain xmlns="http://schemas.openxmlformats.org/spreadsheetml/2006/main">
  <c r="I3" i="14" l="1"/>
  <c r="I2" i="14"/>
  <c r="K3" i="14"/>
  <c r="K2" i="14"/>
  <c r="J3" i="14"/>
  <c r="J2" i="14"/>
  <c r="H3" i="14"/>
  <c r="H2" i="14"/>
  <c r="D13" i="13" l="1"/>
  <c r="D12" i="13"/>
  <c r="D11" i="13"/>
  <c r="D10" i="13"/>
  <c r="D9" i="13"/>
  <c r="D8" i="13"/>
  <c r="D7" i="13"/>
  <c r="D2" i="13"/>
  <c r="D6" i="13"/>
  <c r="D3" i="13"/>
  <c r="D5" i="13"/>
  <c r="D4" i="13"/>
  <c r="C13" i="13"/>
  <c r="C12" i="13"/>
  <c r="C11" i="13"/>
  <c r="C10" i="13"/>
  <c r="C9" i="13"/>
  <c r="C7" i="13"/>
  <c r="C6" i="13"/>
  <c r="C5" i="13"/>
  <c r="C4" i="13"/>
  <c r="C3" i="13"/>
  <c r="C2" i="13"/>
  <c r="C8" i="13"/>
  <c r="B13" i="13"/>
  <c r="B12" i="13"/>
  <c r="B11" i="13"/>
  <c r="B10" i="13"/>
  <c r="B9" i="13"/>
  <c r="E9" i="13" s="1"/>
  <c r="B8" i="13"/>
  <c r="B7" i="13"/>
  <c r="E7" i="13" s="1"/>
  <c r="B6" i="13"/>
  <c r="E6" i="13" s="1"/>
  <c r="F6" i="13" s="1"/>
  <c r="B5" i="13"/>
  <c r="B4" i="13"/>
  <c r="B3" i="13"/>
  <c r="B2" i="1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13" l="1"/>
  <c r="G8" i="13" s="1"/>
  <c r="E10" i="13"/>
  <c r="G10" i="13" s="1"/>
  <c r="H7" i="13"/>
  <c r="H9" i="13"/>
  <c r="H10" i="13"/>
  <c r="G6" i="13"/>
  <c r="G7" i="13"/>
  <c r="G9" i="13"/>
  <c r="H6" i="13"/>
  <c r="E2" i="13"/>
  <c r="H2" i="13" s="1"/>
  <c r="F10" i="13"/>
  <c r="E13" i="13"/>
  <c r="F13" i="13" s="1"/>
  <c r="E5" i="13"/>
  <c r="H5" i="13" s="1"/>
  <c r="F9" i="13"/>
  <c r="E12" i="13"/>
  <c r="G12" i="13" s="1"/>
  <c r="E4" i="13"/>
  <c r="H4" i="13" s="1"/>
  <c r="E11" i="13"/>
  <c r="H11" i="13" s="1"/>
  <c r="E3" i="13"/>
  <c r="G3" i="13" s="1"/>
  <c r="F7" i="13"/>
  <c r="F8" i="13" l="1"/>
  <c r="G11" i="13"/>
  <c r="H8" i="13"/>
  <c r="F12" i="13"/>
  <c r="H12" i="13"/>
  <c r="G4" i="13"/>
  <c r="F11" i="13"/>
  <c r="H3" i="13"/>
  <c r="F3" i="13"/>
  <c r="G13" i="13"/>
  <c r="G2" i="13"/>
  <c r="H13" i="13"/>
  <c r="F4" i="13"/>
  <c r="F5" i="13"/>
  <c r="G5" i="13"/>
  <c r="F2" i="13"/>
</calcChain>
</file>

<file path=xl/sharedStrings.xml><?xml version="1.0" encoding="utf-8"?>
<sst xmlns="http://schemas.openxmlformats.org/spreadsheetml/2006/main" count="9061" uniqueCount="2114">
  <si>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</si>
  <si>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</si>
  <si>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</si>
  <si>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</si>
  <si>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</si>
  <si>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</si>
  <si>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</si>
  <si>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</si>
  <si>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</si>
  <si>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</si>
  <si>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</si>
  <si>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</si>
  <si>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</si>
  <si>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</si>
  <si>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</si>
  <si>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</si>
  <si>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</si>
  <si>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</si>
  <si>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</si>
  <si>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</si>
  <si>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</si>
  <si>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</si>
  <si>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</si>
  <si>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</si>
  <si>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</si>
  <si>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</si>
  <si>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</si>
  <si>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</si>
  <si>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</si>
  <si>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</si>
  <si>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</si>
  <si>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</si>
  <si>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</si>
  <si>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</si>
  <si>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</si>
  <si>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</si>
  <si>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</si>
  <si>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</si>
  <si>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</si>
  <si>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</si>
  <si>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</si>
  <si>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</si>
  <si>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</si>
  <si>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</si>
  <si>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</si>
  <si>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</si>
  <si>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</si>
  <si>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</si>
  <si>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</si>
  <si>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</si>
  <si>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</si>
  <si>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</si>
  <si>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</si>
  <si>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</si>
  <si>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</si>
  <si>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</si>
  <si>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</si>
  <si>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</si>
  <si>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</si>
  <si>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</si>
  <si>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</si>
  <si>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</si>
  <si>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</si>
  <si>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</si>
  <si>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</si>
  <si>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</si>
  <si>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</si>
  <si>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</si>
  <si>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</si>
  <si>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</si>
  <si>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</si>
  <si>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</si>
  <si>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</si>
  <si>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</si>
  <si>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</si>
  <si>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</si>
  <si>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</si>
  <si>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</si>
  <si>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</si>
  <si>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</si>
  <si>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</si>
  <si>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</si>
  <si>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</si>
  <si>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</si>
  <si>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</si>
  <si>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</si>
  <si>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</si>
  <si>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</si>
  <si>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</si>
  <si>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</si>
  <si>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</si>
  <si>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</si>
  <si>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</si>
  <si>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</si>
  <si>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</si>
  <si>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</si>
  <si>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</si>
  <si>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</si>
  <si>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</si>
  <si>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</si>
  <si>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</si>
  <si>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</si>
  <si>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</si>
  <si>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</si>
  <si>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</si>
  <si>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</si>
  <si>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</si>
  <si>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</si>
  <si>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</si>
  <si>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</si>
  <si>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</si>
  <si>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</si>
  <si>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</si>
  <si>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</si>
  <si>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</si>
  <si>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</si>
  <si>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</si>
  <si>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</si>
  <si>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</si>
  <si>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</si>
  <si>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</si>
  <si>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</si>
  <si>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</si>
  <si>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</si>
  <si>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</si>
  <si>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</si>
  <si>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</si>
  <si>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</si>
  <si>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</si>
  <si>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</si>
  <si>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</si>
  <si>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</si>
  <si>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</si>
  <si>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</si>
  <si>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</si>
  <si>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</si>
  <si>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</si>
  <si>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</si>
  <si>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</si>
  <si>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</si>
  <si>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</si>
  <si>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</si>
  <si>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</si>
  <si>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</si>
  <si>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</si>
  <si>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</si>
  <si>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</si>
  <si>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</si>
  <si>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</si>
  <si>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</si>
  <si>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</si>
  <si>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</si>
  <si>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</si>
  <si>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</si>
  <si>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</si>
  <si>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</si>
  <si>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</si>
  <si>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</si>
  <si>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</si>
  <si>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</si>
  <si>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</si>
  <si>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</si>
  <si>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</si>
  <si>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</si>
  <si>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</si>
  <si>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</si>
  <si>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</si>
  <si>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</si>
  <si>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</si>
  <si>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</si>
  <si>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</si>
  <si>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</si>
  <si>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</si>
  <si>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</si>
  <si>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</si>
  <si>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</si>
  <si>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</si>
  <si>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</si>
  <si>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</si>
  <si>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</si>
  <si>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</si>
  <si>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</si>
  <si>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</si>
  <si>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</si>
  <si>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</si>
  <si>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</si>
  <si>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</si>
  <si>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</si>
  <si>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</si>
  <si>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</si>
  <si>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</si>
  <si>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</si>
  <si>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</si>
  <si>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</si>
  <si>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</si>
  <si>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</si>
  <si>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</si>
  <si>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</si>
  <si>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</si>
  <si>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</si>
  <si>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</si>
  <si>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</si>
  <si>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</si>
  <si>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</si>
  <si>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</si>
  <si>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</si>
  <si>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</si>
  <si>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</si>
  <si>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</si>
  <si>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</si>
  <si>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</si>
  <si>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</si>
  <si>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</si>
  <si>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</si>
  <si>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</si>
  <si>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</si>
  <si>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</si>
  <si>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</si>
  <si>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</si>
  <si>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</si>
  <si>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</si>
  <si>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</si>
  <si>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</si>
  <si>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</si>
  <si>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</si>
  <si>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</si>
  <si>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</si>
  <si>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</si>
  <si>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</si>
  <si>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</si>
  <si>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</si>
  <si>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</si>
  <si>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</si>
  <si>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</si>
  <si>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</si>
  <si>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</si>
  <si>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</si>
  <si>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</si>
  <si>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</si>
  <si>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</si>
  <si>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</si>
  <si>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</si>
  <si>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</si>
  <si>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</si>
  <si>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</si>
  <si>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</si>
  <si>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</si>
  <si>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</si>
  <si>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</si>
  <si>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</si>
  <si>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</si>
  <si>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</si>
  <si>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</si>
  <si>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</si>
  <si>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</si>
  <si>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</si>
  <si>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</si>
  <si>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</si>
  <si>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</si>
  <si>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</si>
  <si>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</si>
  <si>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</si>
  <si>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</si>
  <si>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</si>
  <si>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</si>
  <si>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</si>
  <si>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</si>
  <si>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</si>
  <si>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</si>
  <si>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</si>
  <si>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</si>
  <si>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</si>
  <si>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</si>
  <si>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</si>
  <si>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</si>
  <si>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</si>
  <si>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</si>
  <si>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</si>
  <si>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</si>
  <si>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</si>
  <si>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</si>
  <si>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</si>
  <si>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</si>
  <si>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</si>
  <si>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</si>
  <si>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</si>
  <si>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</si>
  <si>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</si>
  <si>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</si>
  <si>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</si>
  <si>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</si>
  <si>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</si>
  <si>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</si>
  <si>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</si>
  <si>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</si>
  <si>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</si>
  <si>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</si>
  <si>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</si>
  <si>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</si>
  <si>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</si>
  <si>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</si>
  <si>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</si>
  <si>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</si>
  <si>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</si>
  <si>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</si>
  <si>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</si>
  <si>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</si>
  <si>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</si>
  <si>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</si>
  <si>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</si>
  <si>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</si>
  <si>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</si>
  <si>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</si>
  <si>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</si>
  <si>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</si>
  <si>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</si>
  <si>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</si>
  <si>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</si>
  <si>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</si>
  <si>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</si>
  <si>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</si>
  <si>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</si>
  <si>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</si>
  <si>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</si>
  <si>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</si>
  <si>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</si>
  <si>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</si>
  <si>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</si>
  <si>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</si>
  <si>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</si>
  <si>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</si>
  <si>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</si>
  <si>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</si>
  <si>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</si>
  <si>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</si>
  <si>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</si>
  <si>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</si>
  <si>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</si>
  <si>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</si>
  <si>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</si>
  <si>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</si>
  <si>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</si>
  <si>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</si>
  <si>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</si>
  <si>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</si>
  <si>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</si>
  <si>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</si>
  <si>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</si>
  <si>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</si>
  <si>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</si>
  <si>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</si>
  <si>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</si>
  <si>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</si>
  <si>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</si>
  <si>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</si>
  <si>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</si>
  <si>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</si>
  <si>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</si>
  <si>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</si>
  <si>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</si>
  <si>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</si>
  <si>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</si>
  <si>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</si>
  <si>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</si>
  <si>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</si>
  <si>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</si>
  <si>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</si>
  <si>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</si>
  <si>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</si>
  <si>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</si>
  <si>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</si>
  <si>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</si>
  <si>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</si>
  <si>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</si>
  <si>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</si>
  <si>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</si>
  <si>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</si>
  <si>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</si>
  <si>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</si>
  <si>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</si>
  <si>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</si>
  <si>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</si>
  <si>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</si>
  <si>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</si>
  <si>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</si>
  <si>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</si>
  <si>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</si>
  <si>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</si>
  <si>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</si>
  <si>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</si>
  <si>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</si>
  <si>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</si>
  <si>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</si>
  <si>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</si>
  <si>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</si>
  <si>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</si>
  <si>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</si>
  <si>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</si>
  <si>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</si>
  <si>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</si>
  <si>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</si>
  <si>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</si>
  <si>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</si>
  <si>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</si>
  <si>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</si>
  <si>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</si>
  <si>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</si>
  <si>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</si>
  <si>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</si>
  <si>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</si>
  <si>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</si>
  <si>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</si>
  <si>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</si>
  <si>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</si>
  <si>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</si>
  <si>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</si>
  <si>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</si>
  <si>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</si>
  <si>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</si>
  <si>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</si>
  <si>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</si>
  <si>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</si>
  <si>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</si>
  <si>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</si>
  <si>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</si>
  <si>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</si>
  <si>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</si>
  <si>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</si>
  <si>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</si>
  <si>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</si>
  <si>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</si>
  <si>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</si>
  <si>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</si>
  <si>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</si>
  <si>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</si>
  <si>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</si>
  <si>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</si>
  <si>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</si>
  <si>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</si>
  <si>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</si>
  <si>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</si>
  <si>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</si>
  <si>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</si>
  <si>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</si>
  <si>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</si>
  <si>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</si>
  <si>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</si>
  <si>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</si>
  <si>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</si>
  <si>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</si>
  <si>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</si>
  <si>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</si>
  <si>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</si>
  <si>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</si>
  <si>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</si>
  <si>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</si>
  <si>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</si>
  <si>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</si>
  <si>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</si>
  <si>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</si>
  <si>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</si>
  <si>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</si>
  <si>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</si>
  <si>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</si>
  <si>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</si>
  <si>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</si>
  <si>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</si>
  <si>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</si>
  <si>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</si>
  <si>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</si>
  <si>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</si>
  <si>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</si>
  <si>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</si>
  <si>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</si>
  <si>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</si>
  <si>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</si>
  <si>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</si>
  <si>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</si>
  <si>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</si>
  <si>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</si>
  <si>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</si>
  <si>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</si>
  <si>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</si>
  <si>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</si>
  <si>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</si>
  <si>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</si>
  <si>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</si>
  <si>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</si>
  <si>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</si>
  <si>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</si>
  <si>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</si>
  <si>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</si>
  <si>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</si>
  <si>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</si>
  <si>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</si>
  <si>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</si>
  <si>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</si>
  <si>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</si>
  <si>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</si>
  <si>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</si>
  <si>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</si>
  <si>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</si>
  <si>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</si>
  <si>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</si>
  <si>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</si>
  <si>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</si>
  <si>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</si>
  <si>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</si>
  <si>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</si>
  <si>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</si>
  <si>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</si>
  <si>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</si>
  <si>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</si>
  <si>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</si>
  <si>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</si>
  <si>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</si>
  <si>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</si>
  <si>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</si>
  <si>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</si>
  <si>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</si>
  <si>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</si>
  <si>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</si>
  <si>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</si>
  <si>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</si>
  <si>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</si>
  <si>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</si>
  <si>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</si>
  <si>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</si>
  <si>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</si>
  <si>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</si>
  <si>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</si>
  <si>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</si>
  <si>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</si>
  <si>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</si>
  <si>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</si>
  <si>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</si>
  <si>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</si>
  <si>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</si>
  <si>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</si>
  <si>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</si>
  <si>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</si>
  <si>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</si>
  <si>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</si>
  <si>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</si>
  <si>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</si>
  <si>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</si>
  <si>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</si>
  <si>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</si>
  <si>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</si>
  <si>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</si>
  <si>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</si>
  <si>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</si>
  <si>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</si>
  <si>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</si>
  <si>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</si>
  <si>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</si>
  <si>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</si>
  <si>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</si>
  <si>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</si>
  <si>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</si>
  <si>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</si>
  <si>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</si>
  <si>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</si>
  <si>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</si>
  <si>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</si>
  <si>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</si>
  <si>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</si>
  <si>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</si>
  <si>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</si>
  <si>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</si>
  <si>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</si>
  <si>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</si>
  <si>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</si>
  <si>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</si>
  <si>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</si>
  <si>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</si>
  <si>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</si>
  <si>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</si>
  <si>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</si>
  <si>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</si>
  <si>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</si>
  <si>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</si>
  <si>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</si>
  <si>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</si>
  <si>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</si>
  <si>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</si>
  <si>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</si>
  <si>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</si>
  <si>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</si>
  <si>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</si>
  <si>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</si>
  <si>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</si>
  <si>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</si>
  <si>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</si>
  <si>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</si>
  <si>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</si>
  <si>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</si>
  <si>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</si>
  <si>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</si>
  <si>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</si>
  <si>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</si>
  <si>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</si>
  <si>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</si>
  <si>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</si>
  <si>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</si>
  <si>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</si>
  <si>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</si>
  <si>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</si>
  <si>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</si>
  <si>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</si>
  <si>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</si>
  <si>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</si>
  <si>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</si>
  <si>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</si>
  <si>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</si>
  <si>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</si>
  <si>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</si>
  <si>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</si>
  <si>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</si>
  <si>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</si>
  <si>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</si>
  <si>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</si>
  <si>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</si>
  <si>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</si>
  <si>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</si>
  <si>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</si>
  <si>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</si>
  <si>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</si>
  <si>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</si>
  <si>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</si>
  <si>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</si>
  <si>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</si>
  <si>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</si>
  <si>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</si>
  <si>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</si>
  <si>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</si>
  <si>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</si>
  <si>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</si>
  <si>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</si>
  <si>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</si>
  <si>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</si>
  <si>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</si>
  <si>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</si>
  <si>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</si>
  <si>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</si>
  <si>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</si>
  <si>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</si>
  <si>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</si>
  <si>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</si>
  <si>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</si>
  <si>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</si>
  <si>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</si>
  <si>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</si>
  <si>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</si>
  <si>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</si>
  <si>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</si>
  <si>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</si>
  <si>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</si>
  <si>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</si>
  <si>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</si>
  <si>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</si>
  <si>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</si>
  <si>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</si>
  <si>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</si>
  <si>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</si>
  <si>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</si>
  <si>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</si>
  <si>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</si>
  <si>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</si>
  <si>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</si>
  <si>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</si>
  <si>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</si>
  <si>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</si>
  <si>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</si>
  <si>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</si>
  <si>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</si>
  <si>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</si>
  <si>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</si>
  <si>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</si>
  <si>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</si>
  <si>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</si>
  <si>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</si>
  <si>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</si>
  <si>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</si>
  <si>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</si>
  <si>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</si>
  <si>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</si>
  <si>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</si>
  <si>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</si>
  <si>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</si>
  <si>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</si>
  <si>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</si>
  <si>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</si>
  <si>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</si>
  <si>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</si>
  <si>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</si>
  <si>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</si>
  <si>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</si>
  <si>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</si>
  <si>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</si>
  <si>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</si>
  <si>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</si>
  <si>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</si>
  <si>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</si>
  <si>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</si>
  <si>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</si>
  <si>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</si>
  <si>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</si>
  <si>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</si>
  <si>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</si>
  <si>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</si>
  <si>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</si>
  <si>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</si>
  <si>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</si>
  <si>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</si>
  <si>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</si>
  <si>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</si>
  <si>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</si>
  <si>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</si>
  <si>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</si>
  <si>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</si>
  <si>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</si>
  <si>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</si>
  <si>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</si>
  <si>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</si>
  <si>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</si>
  <si>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</si>
  <si>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</si>
  <si>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</si>
  <si>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</si>
  <si>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</si>
  <si>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</si>
  <si>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</si>
  <si>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</si>
  <si>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</si>
  <si>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</si>
  <si>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</si>
  <si>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</si>
  <si>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</si>
  <si>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</si>
  <si>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</si>
  <si>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</si>
  <si>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</si>
  <si>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</si>
  <si>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</si>
  <si>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</si>
  <si>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</si>
  <si>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</si>
  <si>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</si>
  <si>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</si>
  <si>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</si>
  <si>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</si>
  <si>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</si>
  <si>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</si>
  <si>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</si>
  <si>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</si>
  <si>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</si>
  <si>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</si>
  <si>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</si>
  <si>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</si>
  <si>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</si>
  <si>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</si>
  <si>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</si>
  <si>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</si>
  <si>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</si>
  <si>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</si>
  <si>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</si>
  <si>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</si>
  <si>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</si>
  <si>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</si>
  <si>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</si>
  <si>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</si>
  <si>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</si>
  <si>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</si>
  <si>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</si>
  <si>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</si>
  <si>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</si>
  <si>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</si>
  <si>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</si>
  <si>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</si>
  <si>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</si>
  <si>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</si>
  <si>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</si>
  <si>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</si>
  <si>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</si>
  <si>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</si>
  <si>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</si>
  <si>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</si>
  <si>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</si>
  <si>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</si>
  <si>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</si>
  <si>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</si>
  <si>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</si>
  <si>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</si>
  <si>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</si>
  <si>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</si>
  <si>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</si>
  <si>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</si>
  <si>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</si>
  <si>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</si>
  <si>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</si>
  <si>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</si>
  <si>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</si>
  <si>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</si>
  <si>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</si>
  <si>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</si>
  <si>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</si>
  <si>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</si>
  <si>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</si>
  <si>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</si>
  <si>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</si>
  <si>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</si>
  <si>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</si>
  <si>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</si>
  <si>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</si>
  <si>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</si>
  <si>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</si>
  <si>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</si>
  <si>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</si>
  <si>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</si>
  <si>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</si>
  <si>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</si>
  <si>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</si>
  <si>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</si>
  <si>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</si>
  <si>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</si>
  <si>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</si>
  <si>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</si>
  <si>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</si>
  <si>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</si>
  <si>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</si>
  <si>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</si>
  <si>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</si>
  <si>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</si>
  <si>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</si>
  <si>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</si>
  <si>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</si>
  <si>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</si>
  <si>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</si>
  <si>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</si>
  <si>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</si>
  <si>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</si>
  <si>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</si>
  <si>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</si>
  <si>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</si>
  <si>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</si>
  <si>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</si>
  <si>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</si>
  <si>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</si>
  <si>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</si>
  <si>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</si>
  <si>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</si>
  <si>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</si>
  <si>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</si>
  <si>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</si>
  <si>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</si>
  <si>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</si>
  <si>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</si>
  <si>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</si>
  <si>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</si>
  <si>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</si>
  <si>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</si>
  <si>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</si>
  <si>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</si>
  <si>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</si>
  <si>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</si>
  <si>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</si>
  <si>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</si>
  <si>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</si>
  <si>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</si>
  <si>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</si>
  <si>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</si>
  <si>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</si>
  <si>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</si>
  <si>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</si>
  <si>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</si>
  <si>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</si>
  <si>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</si>
  <si>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</si>
  <si>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</si>
  <si>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</si>
  <si>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</si>
  <si>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</si>
  <si>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</si>
  <si>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</si>
  <si>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</si>
  <si>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</si>
  <si>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</si>
  <si>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</si>
  <si>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</si>
  <si>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</si>
  <si>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</si>
  <si>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</si>
  <si>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</si>
  <si>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</si>
  <si>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</si>
  <si>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</si>
  <si>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</si>
  <si>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</si>
  <si>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</si>
  <si>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</si>
  <si>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</si>
  <si>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</si>
  <si>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</si>
  <si>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</si>
  <si>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</si>
  <si>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</si>
  <si>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</si>
  <si>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</si>
  <si>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</si>
  <si>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</si>
  <si>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</si>
  <si>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</si>
  <si>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</si>
  <si>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</si>
  <si>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</si>
  <si>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</si>
  <si>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</si>
  <si>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</si>
  <si>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</si>
  <si>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</si>
  <si>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</si>
  <si>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</si>
  <si>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</si>
  <si>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</si>
  <si>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</si>
  <si>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</si>
  <si>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</si>
  <si>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</si>
  <si>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</si>
  <si>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</si>
  <si>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</si>
  <si>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</si>
  <si>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</si>
  <si>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</si>
  <si>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</si>
  <si>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</si>
  <si>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</si>
  <si>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</si>
  <si>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</si>
  <si>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</si>
  <si>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</si>
  <si>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</si>
  <si>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</si>
  <si>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</si>
  <si>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</si>
  <si>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</si>
  <si>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</si>
  <si>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</si>
  <si>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</si>
  <si>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</si>
  <si>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</si>
  <si>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</si>
  <si>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</si>
  <si>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</si>
  <si>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</si>
  <si>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</si>
  <si>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</si>
  <si>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</si>
  <si>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</si>
  <si>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</si>
  <si>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</si>
  <si>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</si>
  <si>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</si>
  <si>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</si>
  <si>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</si>
  <si>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</si>
  <si>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</si>
  <si>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</si>
  <si>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</si>
  <si>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</si>
  <si>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</si>
  <si>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</si>
  <si>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</si>
  <si>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</si>
  <si>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</si>
  <si>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</si>
  <si>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</si>
  <si>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</si>
  <si>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</si>
  <si>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</si>
  <si>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</si>
  <si>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</si>
  <si>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</si>
  <si>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</si>
  <si>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</si>
  <si>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</si>
  <si>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</si>
  <si>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</si>
  <si>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</si>
  <si>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</si>
  <si>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</si>
  <si>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</si>
  <si>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</si>
  <si>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</si>
  <si>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</si>
  <si>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</si>
  <si>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</si>
  <si>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</si>
  <si>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</si>
  <si>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</si>
  <si>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</si>
  <si>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</si>
  <si>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</si>
  <si>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</si>
  <si>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</si>
  <si>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</si>
  <si>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</si>
  <si>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</si>
  <si>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</si>
  <si>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</si>
  <si>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</si>
  <si>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</si>
  <si>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</si>
  <si>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</si>
  <si>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</si>
  <si>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</si>
  <si>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</si>
  <si>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</si>
  <si>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</si>
  <si>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</si>
  <si>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</si>
  <si>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</si>
  <si>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</si>
  <si>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</si>
  <si>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</si>
  <si>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</si>
  <si>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</si>
  <si>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</si>
  <si>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</si>
  <si>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</si>
  <si>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</si>
  <si>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</si>
  <si>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</si>
  <si>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</si>
  <si>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</si>
  <si>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</si>
  <si>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</si>
  <si>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</si>
  <si>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</si>
  <si>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</si>
  <si>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</si>
  <si>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</si>
  <si>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</si>
  <si>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</si>
  <si>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</si>
  <si>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</si>
  <si>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</si>
  <si>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</si>
  <si>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</si>
  <si>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</si>
  <si>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</si>
  <si>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</si>
  <si>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</si>
  <si>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</si>
  <si>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</si>
  <si>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</si>
  <si>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</si>
  <si>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</si>
  <si>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</si>
  <si>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</si>
  <si>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</si>
  <si>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</si>
  <si>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</si>
  <si>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</si>
  <si>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</si>
  <si>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</si>
  <si>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</si>
  <si>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</si>
  <si>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</si>
  <si>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</si>
  <si>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</si>
  <si>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</si>
  <si>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</si>
  <si>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</si>
  <si>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</si>
  <si>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</si>
  <si>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</si>
  <si>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</si>
  <si>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</si>
  <si>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</si>
  <si>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</si>
  <si>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</si>
  <si>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</si>
  <si>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</si>
  <si>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</si>
  <si>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</si>
  <si>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</si>
  <si>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</si>
  <si>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</si>
  <si>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</si>
  <si>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</si>
  <si>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</si>
  <si>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</si>
  <si>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</si>
  <si>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</si>
  <si>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</si>
  <si>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</si>
  <si>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</si>
  <si>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</si>
  <si>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</si>
  <si>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</si>
  <si>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</si>
  <si>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</si>
  <si>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</si>
  <si>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</si>
  <si>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</si>
  <si>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</si>
  <si>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</si>
  <si>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</si>
  <si>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</si>
  <si>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</si>
  <si>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</si>
  <si>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</si>
  <si>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</si>
  <si>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</si>
  <si>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</si>
  <si>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</si>
  <si>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</si>
  <si>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</si>
  <si>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</si>
  <si>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</si>
  <si>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</si>
  <si>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</si>
  <si>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</si>
  <si>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</si>
  <si>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</si>
  <si>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</si>
  <si>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</si>
  <si>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</si>
  <si>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</si>
  <si>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</si>
  <si>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</si>
  <si>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</si>
  <si>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</si>
  <si>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</si>
  <si>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</si>
  <si>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</si>
  <si>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</si>
  <si>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</si>
  <si>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</si>
  <si>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</si>
  <si>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</si>
  <si>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</si>
  <si>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</si>
  <si>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</si>
  <si>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</si>
  <si>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</si>
  <si>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</si>
  <si>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</si>
  <si>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</si>
  <si>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</si>
  <si>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</si>
  <si>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</si>
  <si>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</si>
  <si>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</si>
  <si>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</si>
  <si>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</si>
  <si>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</si>
  <si>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</si>
  <si>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</si>
  <si>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</si>
  <si>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</si>
  <si>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</si>
  <si>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</si>
  <si>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</si>
  <si>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</si>
  <si>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</si>
  <si>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</si>
  <si>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</si>
  <si>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</si>
  <si>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</si>
  <si>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</si>
  <si>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</si>
  <si>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</si>
  <si>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</si>
  <si>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</si>
  <si>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</si>
  <si>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</si>
  <si>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</si>
  <si>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</si>
  <si>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</si>
  <si>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</si>
  <si>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</si>
  <si>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</si>
  <si>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</si>
  <si>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</si>
  <si>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</si>
  <si>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</si>
  <si>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</si>
  <si>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</si>
  <si>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</si>
  <si>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</si>
  <si>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</si>
  <si>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</si>
  <si>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</si>
  <si>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</si>
  <si>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</si>
  <si>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</si>
  <si>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</si>
  <si>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</si>
  <si>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</si>
  <si>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</si>
  <si>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</si>
  <si>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</si>
  <si>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</si>
  <si>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</si>
  <si>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</si>
  <si>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</si>
  <si>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</si>
  <si>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</si>
  <si>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</si>
  <si>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</si>
  <si>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</si>
  <si>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</si>
  <si>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</si>
  <si>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</si>
  <si>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</si>
  <si>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</si>
  <si>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</si>
  <si>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</si>
  <si>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</si>
  <si>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</si>
  <si>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</si>
  <si>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</si>
  <si>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</si>
  <si>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</si>
  <si>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</si>
  <si>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</si>
  <si>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</si>
  <si>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</si>
  <si>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</si>
  <si>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</si>
  <si>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</si>
  <si>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</si>
  <si>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</si>
  <si>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</si>
  <si>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</si>
  <si>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</si>
  <si>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</si>
  <si>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</si>
  <si>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</si>
  <si>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</si>
  <si>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</si>
  <si>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</si>
  <si>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</si>
  <si>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</si>
  <si>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</si>
  <si>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</si>
  <si>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</si>
  <si>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</si>
  <si>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</si>
  <si>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</si>
  <si>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</si>
  <si>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</si>
  <si>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</si>
  <si>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</si>
  <si>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</si>
  <si>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</si>
  <si>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</si>
  <si>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</si>
  <si>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</si>
  <si>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</si>
  <si>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</si>
  <si>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</si>
  <si>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</si>
  <si>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</si>
  <si>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</si>
  <si>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</si>
  <si>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</si>
  <si>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</si>
  <si>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</si>
  <si>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</si>
  <si>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</si>
  <si>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</si>
  <si>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</si>
  <si>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</si>
  <si>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</si>
  <si>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</si>
  <si>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</si>
  <si>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</si>
  <si>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</si>
  <si>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</si>
  <si>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</si>
  <si>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</si>
  <si>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</si>
  <si>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</si>
  <si>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</si>
  <si>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</si>
  <si>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</si>
  <si>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</si>
  <si>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</si>
  <si>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</si>
  <si>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</si>
  <si>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</si>
  <si>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</si>
  <si>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</si>
  <si>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</si>
  <si>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</si>
  <si>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</si>
  <si>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</si>
  <si>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</si>
  <si>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</si>
  <si>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</si>
  <si>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</si>
  <si>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</si>
  <si>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</si>
  <si>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</si>
  <si>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</si>
  <si>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</si>
  <si>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</si>
  <si>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</si>
  <si>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</si>
  <si>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</si>
  <si>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</si>
  <si>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</si>
  <si>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</si>
  <si>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</si>
  <si>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</si>
  <si>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</si>
  <si>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</si>
  <si>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</si>
  <si>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</si>
  <si>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</si>
  <si>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</si>
  <si>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</si>
  <si>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</si>
  <si>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</si>
  <si>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</si>
  <si>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</si>
  <si>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</si>
  <si>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</si>
  <si>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</si>
  <si>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</si>
  <si>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</si>
  <si>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</si>
  <si>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</si>
  <si>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</si>
  <si>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</si>
  <si>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</si>
  <si>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</si>
  <si>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</si>
  <si>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</si>
  <si>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</si>
  <si>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</si>
  <si>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</si>
  <si>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</si>
  <si>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</si>
  <si>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</si>
  <si>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</si>
  <si>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</si>
  <si>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</si>
  <si>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</si>
  <si>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</si>
  <si>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</si>
  <si>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</si>
  <si>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</si>
  <si>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</si>
  <si>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</si>
  <si>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</si>
  <si>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</si>
  <si>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</si>
  <si>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</si>
  <si>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</si>
  <si>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</si>
  <si>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</si>
  <si>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</si>
  <si>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</si>
  <si>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</si>
  <si>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</si>
  <si>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</si>
  <si>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</si>
  <si>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</si>
  <si>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</si>
  <si>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</si>
  <si>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</si>
  <si>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</si>
  <si>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</si>
  <si>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</si>
  <si>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</si>
  <si>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</si>
  <si>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</si>
  <si>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</si>
  <si>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</si>
  <si>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</si>
  <si>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</si>
  <si>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</si>
  <si>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</si>
  <si>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</si>
  <si>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</si>
  <si>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</si>
  <si>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</si>
  <si>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</si>
  <si>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</si>
  <si>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</si>
  <si>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</si>
  <si>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</si>
  <si>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</si>
  <si>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</si>
  <si>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</si>
  <si>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</si>
  <si>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</si>
  <si>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</si>
  <si>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</si>
  <si>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</si>
  <si>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</si>
  <si>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</si>
  <si>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</si>
  <si>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</si>
  <si>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</si>
  <si>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</si>
  <si>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</si>
  <si>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</si>
  <si>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</si>
  <si>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</si>
  <si>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</si>
  <si>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</si>
  <si>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</si>
  <si>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</si>
  <si>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</si>
  <si>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</si>
  <si>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</si>
  <si>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</si>
  <si>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</si>
  <si>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</si>
  <si>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</si>
  <si>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</si>
  <si>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</si>
  <si>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</si>
  <si>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</si>
  <si>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</si>
  <si>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</si>
  <si>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</si>
  <si>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</si>
  <si>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</si>
  <si>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</si>
  <si>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</si>
  <si>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</si>
  <si>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</si>
  <si>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</si>
  <si>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</si>
  <si>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</si>
  <si>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</si>
  <si>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</si>
  <si>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</si>
  <si>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</si>
  <si>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</si>
  <si>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</si>
  <si>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</si>
  <si>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</si>
  <si>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</si>
  <si>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</si>
  <si>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</si>
  <si>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</si>
  <si>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</si>
  <si>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</si>
  <si>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</si>
  <si>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</si>
  <si>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</si>
  <si>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</si>
  <si>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</si>
  <si>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</si>
  <si>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</si>
  <si>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</si>
  <si>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</si>
  <si>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</si>
  <si>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</si>
  <si>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</si>
  <si>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</si>
  <si>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</si>
  <si>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</si>
  <si>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</si>
  <si>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</si>
  <si>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</si>
  <si>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</si>
  <si>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</si>
  <si>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</si>
  <si>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</si>
  <si>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</si>
  <si>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</si>
  <si>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</si>
  <si>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</si>
  <si>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</si>
  <si>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</si>
  <si>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</si>
  <si>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</si>
  <si>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</si>
  <si>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</si>
  <si>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</si>
  <si>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</si>
  <si>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</si>
  <si>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</si>
  <si>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</si>
  <si>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</si>
  <si>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</si>
  <si>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</si>
  <si>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</si>
  <si>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</si>
  <si>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</si>
  <si>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</si>
  <si>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</si>
  <si>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</si>
  <si>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</si>
  <si>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</si>
  <si>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</si>
  <si>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</si>
  <si>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</si>
  <si>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</si>
  <si>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</si>
  <si>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</si>
  <si>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</si>
  <si>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</si>
  <si>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</si>
  <si>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</si>
  <si>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</si>
  <si>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</si>
  <si>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</si>
  <si>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</si>
  <si>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</si>
  <si>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</si>
  <si>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</si>
  <si>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</si>
  <si>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</si>
  <si>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</si>
  <si>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</si>
  <si>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</si>
  <si>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</si>
  <si>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</si>
  <si>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</si>
  <si>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</si>
  <si>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</si>
  <si>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</si>
  <si>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</si>
  <si>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</si>
  <si>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</si>
  <si>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</si>
  <si>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</si>
  <si>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</si>
  <si>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</si>
  <si>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</si>
  <si>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</si>
  <si>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</si>
  <si>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</si>
  <si>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</si>
  <si>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</si>
  <si>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</si>
  <si>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</si>
  <si>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</si>
  <si>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</si>
  <si>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</si>
  <si>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</si>
  <si>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</si>
  <si>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</si>
  <si>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</si>
  <si>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</si>
  <si>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</si>
  <si>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</si>
  <si>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</si>
  <si>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</si>
  <si>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</si>
  <si>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</si>
  <si>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</si>
  <si>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</si>
  <si>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</si>
  <si>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</si>
  <si>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</si>
  <si>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</si>
  <si>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</si>
  <si>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</si>
  <si>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</si>
  <si>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</si>
  <si>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</si>
  <si>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</si>
  <si>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</si>
  <si>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</si>
  <si>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</si>
  <si>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</si>
  <si>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</si>
  <si>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</si>
  <si>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</si>
  <si>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</si>
  <si>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</si>
  <si>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</si>
  <si>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</si>
  <si>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</si>
  <si>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</si>
  <si>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</si>
  <si>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</si>
  <si>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</si>
  <si>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</si>
  <si>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</si>
  <si>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</si>
  <si>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</si>
  <si>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</si>
  <si>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</si>
  <si>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</si>
  <si>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</si>
  <si>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</si>
  <si>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</si>
  <si>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</si>
  <si>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</si>
  <si>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</si>
  <si>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</si>
  <si>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</si>
  <si>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</si>
  <si>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</si>
  <si>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</si>
  <si>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</si>
  <si>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</si>
  <si>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</si>
  <si>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</si>
  <si>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</si>
  <si>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</si>
  <si>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</si>
  <si>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</si>
  <si>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</si>
  <si>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</si>
  <si>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</si>
  <si>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</si>
  <si>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</si>
  <si>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</si>
  <si>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</si>
  <si>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</si>
  <si>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</si>
  <si>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</si>
  <si>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</si>
  <si>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</si>
  <si>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</si>
  <si>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</si>
  <si>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</si>
  <si>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</si>
  <si>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</si>
  <si>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</si>
  <si>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</si>
  <si>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</si>
  <si>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</si>
  <si>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</si>
  <si>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</si>
  <si>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</si>
  <si>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</si>
  <si>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</si>
  <si>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</si>
  <si>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</si>
  <si>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</si>
  <si>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</si>
  <si>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</si>
  <si>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</si>
  <si>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</si>
  <si>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</si>
  <si>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</si>
  <si>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</si>
  <si>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</si>
  <si>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</si>
  <si>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</si>
  <si>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</si>
  <si>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</si>
  <si>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</si>
  <si>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</si>
  <si>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</si>
  <si>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</si>
  <si>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</si>
  <si>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</si>
  <si>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</si>
  <si>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</si>
  <si>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</si>
  <si>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</si>
  <si>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</si>
  <si>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</si>
  <si>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</si>
  <si>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</si>
  <si>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</si>
  <si>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</si>
  <si>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</si>
  <si>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</si>
  <si>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</si>
  <si>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</si>
  <si>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</si>
  <si>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</si>
  <si>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</si>
  <si>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</si>
  <si>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</si>
  <si>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</si>
  <si>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</si>
  <si>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</si>
  <si>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</si>
  <si>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</si>
  <si>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</si>
  <si>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</si>
  <si>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</si>
  <si>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</si>
  <si>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</si>
  <si>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</si>
  <si>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</si>
  <si>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</si>
  <si>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</si>
  <si>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</si>
  <si>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</si>
  <si>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</si>
  <si>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</si>
  <si>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</si>
  <si>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</si>
  <si>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</si>
  <si>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</si>
  <si>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</si>
  <si>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</si>
  <si>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</si>
  <si>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</si>
  <si>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</si>
  <si>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</si>
  <si>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</si>
  <si>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</si>
  <si>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</si>
  <si>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</si>
  <si>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</si>
  <si>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</si>
  <si>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</si>
  <si>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</si>
  <si>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</si>
  <si>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</si>
  <si>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</si>
  <si>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</si>
  <si>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</si>
  <si>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</si>
  <si>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</si>
  <si>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</si>
  <si>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</si>
  <si>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</si>
  <si>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</si>
  <si>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</si>
  <si>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</si>
  <si>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</si>
  <si>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</si>
  <si>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</si>
  <si>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</si>
  <si>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</si>
  <si>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</si>
  <si>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</si>
  <si>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</si>
  <si>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</si>
  <si>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</si>
  <si>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</si>
  <si>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</si>
  <si>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</si>
  <si>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</si>
  <si>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</si>
  <si>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</si>
  <si>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</si>
  <si>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</si>
  <si>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</si>
  <si>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</si>
  <si>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</si>
  <si>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</si>
  <si>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</si>
  <si>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</si>
  <si>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</si>
  <si>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</si>
  <si>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</si>
  <si>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</si>
  <si>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</si>
  <si>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</si>
  <si>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</si>
  <si>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</si>
  <si>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</si>
  <si>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</si>
  <si>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</si>
  <si>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</si>
  <si>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</si>
  <si>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</si>
  <si>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</si>
  <si>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</si>
  <si>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</si>
  <si>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</si>
  <si>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</si>
  <si>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</si>
  <si>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</si>
  <si>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</si>
  <si>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</si>
  <si>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</si>
  <si>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</si>
  <si>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</si>
  <si>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</si>
  <si>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</si>
  <si>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</si>
  <si>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</si>
  <si>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</si>
  <si>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</si>
  <si>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</si>
  <si>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</si>
  <si>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</si>
  <si>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</si>
  <si>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</si>
  <si>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</si>
  <si>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</si>
  <si>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</si>
  <si>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</si>
  <si>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</si>
  <si>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</si>
  <si>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</si>
  <si>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</si>
  <si>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</si>
  <si>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</si>
  <si>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</si>
  <si>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</si>
  <si>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</si>
  <si>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</si>
  <si>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</si>
  <si>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</si>
  <si>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</si>
  <si>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</si>
  <si>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</si>
  <si>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</si>
  <si>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</si>
  <si>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</si>
  <si>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</si>
  <si>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</si>
  <si>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</si>
  <si>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</si>
  <si>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</si>
  <si>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</si>
  <si>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</si>
  <si>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</si>
  <si>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</si>
  <si>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</si>
  <si>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</si>
  <si>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</si>
  <si>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</si>
  <si>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</si>
  <si>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</si>
  <si>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</si>
  <si>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</si>
  <si>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</si>
  <si>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</si>
  <si>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</si>
  <si>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</si>
  <si>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</si>
  <si>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</si>
  <si>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</si>
  <si>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</si>
  <si>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</si>
  <si>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</si>
  <si>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</si>
  <si>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</si>
  <si>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</si>
  <si>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</si>
  <si>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</si>
  <si>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</si>
  <si>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</si>
  <si>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</si>
  <si>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</si>
  <si>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</si>
  <si>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</si>
  <si>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</si>
  <si>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</si>
  <si>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</si>
  <si>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</si>
  <si>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</si>
  <si>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</si>
  <si>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</si>
  <si>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</si>
  <si>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</si>
  <si>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</si>
  <si>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</si>
  <si>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</si>
  <si>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</si>
  <si>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</si>
  <si>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</si>
  <si>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</si>
  <si>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</si>
  <si>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</si>
  <si>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</si>
  <si>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</si>
  <si>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</si>
  <si>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</si>
  <si>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</si>
  <si>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</si>
  <si>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</si>
  <si>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</si>
  <si>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</si>
  <si>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</si>
  <si>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</si>
  <si>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</si>
  <si>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</si>
  <si>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</si>
  <si>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</si>
  <si>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</si>
  <si>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</si>
  <si>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</si>
  <si>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</si>
  <si>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</si>
  <si>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</si>
  <si>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</si>
  <si>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</si>
  <si>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</si>
  <si>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</si>
  <si>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</si>
  <si>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</si>
  <si>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</si>
  <si>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</si>
  <si>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</si>
  <si>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</si>
  <si>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</si>
  <si>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</si>
  <si>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</si>
  <si>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</si>
  <si>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</si>
  <si>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</si>
  <si>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</si>
  <si>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</si>
  <si>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</si>
  <si>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</si>
  <si>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</si>
  <si>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</si>
  <si>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</si>
  <si>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</si>
  <si>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</si>
  <si>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</si>
  <si>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</si>
  <si>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</si>
  <si>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</si>
  <si>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</si>
  <si>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</si>
  <si>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</si>
  <si>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</si>
  <si>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</si>
  <si>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</si>
  <si>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</si>
  <si>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</si>
  <si>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</si>
  <si>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</si>
  <si>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</si>
  <si>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</si>
  <si>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</si>
  <si>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</si>
  <si>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</si>
  <si>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</si>
  <si>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</si>
  <si>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</si>
  <si>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</si>
  <si>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</si>
  <si>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</si>
  <si>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</si>
  <si>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</si>
  <si>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</si>
  <si>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</si>
  <si>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</si>
  <si>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</si>
  <si>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</si>
  <si>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</si>
  <si>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</si>
  <si>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</si>
  <si>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</si>
  <si>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</si>
  <si>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</si>
  <si>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</si>
  <si>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</si>
  <si>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</si>
  <si>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</si>
  <si>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</si>
  <si>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</si>
  <si>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</si>
  <si>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</si>
  <si>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</si>
  <si>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</si>
  <si>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</si>
  <si>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</si>
  <si>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</si>
  <si>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</si>
  <si>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</si>
  <si>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</si>
  <si>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</si>
  <si>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</si>
  <si>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</si>
  <si>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</si>
  <si>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</si>
  <si>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</si>
  <si>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</si>
  <si>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</si>
  <si>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</si>
  <si>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</si>
  <si>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</si>
  <si>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</si>
  <si>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</si>
  <si>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</si>
  <si>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</si>
  <si>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</si>
  <si>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</si>
  <si>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</si>
  <si>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</si>
  <si>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</si>
  <si>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</si>
  <si>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</si>
  <si>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</si>
  <si>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</si>
  <si>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</si>
  <si>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</si>
  <si>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</si>
  <si>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</si>
  <si>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</si>
  <si>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</si>
  <si>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</si>
  <si>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</si>
  <si>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</si>
  <si>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</si>
  <si>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</si>
  <si>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</si>
  <si>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</si>
  <si>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</si>
  <si>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</si>
  <si>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</si>
  <si>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</si>
  <si>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</si>
  <si>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</si>
  <si>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</si>
  <si>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</si>
  <si>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</si>
  <si>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</si>
  <si>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</si>
  <si>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</si>
  <si>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</si>
  <si>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</si>
  <si>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</si>
  <si>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</si>
  <si>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</si>
  <si>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</si>
  <si>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</si>
  <si>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</si>
  <si>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</si>
  <si>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</si>
  <si>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</si>
  <si>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</si>
  <si>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Avarage Donation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</si>
  <si>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</si>
  <si>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</si>
  <si>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</si>
  <si>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</si>
  <si>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</si>
  <si>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</si>
  <si>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</si>
  <si>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</si>
  <si>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</si>
  <si>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</si>
  <si>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</si>
  <si>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</si>
  <si>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</si>
  <si>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</si>
  <si>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</si>
  <si>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</si>
  <si>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</si>
  <si>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</si>
  <si>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</si>
  <si>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</si>
  <si>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</si>
  <si>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</si>
  <si>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</si>
  <si>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</si>
  <si>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</si>
  <si>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</si>
  <si>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</si>
  <si>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</si>
  <si>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</si>
  <si>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</si>
  <si>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</si>
  <si>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</si>
  <si>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</si>
  <si>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</si>
  <si>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</si>
  <si>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</si>
  <si>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</si>
  <si>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</si>
  <si>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</si>
  <si>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</si>
  <si>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</si>
  <si>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</si>
  <si>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</si>
  <si>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</si>
  <si>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</si>
  <si>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</si>
  <si>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</si>
  <si>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</si>
  <si>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</si>
  <si>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</si>
  <si>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</si>
  <si>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</si>
  <si>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</si>
  <si>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</si>
  <si>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</si>
  <si>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</si>
  <si>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 xml:space="preserve">Number of Sucessful </t>
  </si>
  <si>
    <t>Number of Failed</t>
  </si>
  <si>
    <t>Number of Cancelled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</si>
  <si>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</si>
  <si>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</si>
  <si>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</si>
  <si>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</si>
  <si>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</si>
  <si>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</si>
  <si>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</si>
  <si>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</si>
  <si>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</si>
  <si>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</si>
  <si>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</si>
  <si>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</si>
  <si>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</si>
  <si>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</si>
  <si>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</si>
  <si>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</si>
  <si>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cancelled</t>
  </si>
  <si>
    <t>Outcome</t>
  </si>
  <si>
    <t>Successful</t>
  </si>
  <si>
    <t>Failed</t>
  </si>
  <si>
    <t>Maximum of backer</t>
  </si>
  <si>
    <t>Minimum of backer</t>
  </si>
  <si>
    <t>Median of backer</t>
  </si>
  <si>
    <t>Mean of backer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</si>
</sst>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.0_-;\-* #,##0.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 wrapText="1"/>
    </xf>
    <xf numFmtId="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 indent="1"/>
    </xf>
    <xf numFmtId="9" fontId="16" fillId="0" borderId="0" xfId="43" applyFont="1"/>
    <xf numFmtId="170" fontId="0" fillId="0" borderId="0" xfId="42" applyNumberFormat="1" applyFont="1"/>
    <xf numFmtId="1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0-494C-94E9-A71930B97A4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0-494C-94E9-A71930B97A4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0-494C-94E9-A71930B97A4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0-494C-94E9-A71930B9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840352"/>
        <c:axId val="660845392"/>
      </c:barChart>
      <c:catAx>
        <c:axId val="6608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45392"/>
        <c:crosses val="autoZero"/>
        <c:auto val="1"/>
        <c:lblAlgn val="ctr"/>
        <c:lblOffset val="100"/>
        <c:noMultiLvlLbl val="0"/>
      </c:catAx>
      <c:valAx>
        <c:axId val="6608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D-4F40-9FBA-58E2542F6D30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65D-4F40-9FBA-58E2542F6D30}"/>
              </c:ext>
            </c:extLst>
          </c:dPt>
          <c:cat>
            <c:strRef>
              <c:f>Sheet4!$A$7:$A$31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D-4F40-9FBA-58E2542F6D30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D-4F40-9FBA-58E2542F6D30}"/>
            </c:ext>
          </c:extLst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5D-4F40-9FBA-58E2542F6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072104"/>
        <c:axId val="723683968"/>
      </c:barChart>
      <c:catAx>
        <c:axId val="7820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3968"/>
        <c:crosses val="autoZero"/>
        <c:auto val="1"/>
        <c:lblAlgn val="ctr"/>
        <c:lblOffset val="100"/>
        <c:noMultiLvlLbl val="0"/>
      </c:catAx>
      <c:valAx>
        <c:axId val="7236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F-4998-88C7-FF8502E3C962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F-4998-88C7-FF8502E3C962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F-4998-88C7-FF8502E3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47920"/>
        <c:axId val="773745400"/>
      </c:lineChart>
      <c:catAx>
        <c:axId val="7737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5400"/>
        <c:crosses val="autoZero"/>
        <c:auto val="1"/>
        <c:lblAlgn val="ctr"/>
        <c:lblOffset val="100"/>
        <c:noMultiLvlLbl val="0"/>
      </c:catAx>
      <c:valAx>
        <c:axId val="77374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43849133383056E-2"/>
          <c:y val="0.114088291509992"/>
          <c:w val="0.92951631902871634"/>
          <c:h val="0.62619223063734575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0.86425339366515841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0BB-424D-A3D5-E549E6A2A535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0.12669683257918551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0BB-424D-A3D5-E549E6A2A5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9.0497737556561094E-3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70BB-424D-A3D5-E549E6A2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50200"/>
        <c:axId val="907247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70BB-424D-A3D5-E549E6A2A53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28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70BB-424D-A3D5-E549E6A2A53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70BB-424D-A3D5-E549E6A2A53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221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22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70BB-424D-A3D5-E549E6A2A535}"/>
                  </c:ext>
                </c:extLst>
              </c15:ser>
            </c15:filteredLineSeries>
          </c:ext>
        </c:extLst>
      </c:lineChart>
      <c:catAx>
        <c:axId val="90725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47680"/>
        <c:crosses val="autoZero"/>
        <c:auto val="1"/>
        <c:lblAlgn val="ctr"/>
        <c:lblOffset val="100"/>
        <c:noMultiLvlLbl val="0"/>
      </c:catAx>
      <c:valAx>
        <c:axId val="9072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5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331788</xdr:colOff>
      <xdr:row>0</xdr:row>
      <xdr:rowOff>15876</xdr:rowOff>
    </xdr:from>
    <xdr:to>
      <xdr:col>15</xdr:col>
      <xdr:colOff>352426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C574F-A15E-01E8-3AEC-1F32E87D1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420686</xdr:colOff>
      <xdr:row>1</xdr:row>
      <xdr:rowOff>25400</xdr:rowOff>
    </xdr:from>
    <xdr:to>
      <xdr:col>18</xdr:col>
      <xdr:colOff>142874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B3EFD-37A9-FB30-CB1B-54840B41D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303212</xdr:colOff>
      <xdr:row>2</xdr:row>
      <xdr:rowOff>66675</xdr:rowOff>
    </xdr:from>
    <xdr:to>
      <xdr:col>13</xdr:col>
      <xdr:colOff>323850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B087B-8C06-48B9-38FD-981CE6734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115887</xdr:colOff>
      <xdr:row>13</xdr:row>
      <xdr:rowOff>126999</xdr:rowOff>
    </xdr:from>
    <xdr:to>
      <xdr:col>7</xdr:col>
      <xdr:colOff>835025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E4C4F-188A-FFE2-5A08-D2937795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 Nguyen" refreshedDate="45088.717702083333" createdVersion="8" refreshedVersion="8" minRefreshableVersion="3" recordCount="1001" xr:uid="{CE6F971F-F747-42F7-B067-63E917BF371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 Nguyen" refreshedDate="45088.776941782409" createdVersion="8" refreshedVersion="8" minRefreshableVersion="3" recordCount="1000" xr:uid="{2B2C0DDC-A157-458D-BD31-23EE59BE0C9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  <x v="0"/>
  </r>
  <r>
    <m/>
    <m/>
    <m/>
    <m/>
    <m/>
    <m/>
    <x v="4"/>
    <m/>
    <m/>
    <x v="7"/>
    <m/>
    <m/>
    <x v="878"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8BD21-CAD1-4298-A062-448721647C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F1FC9-F05B-406B-88D2-EA0EB47D83A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 sortType="ascending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h="1"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BE359-6CD2-4378-A282-0E537577AB6B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CC5A-FBEF-4C81-BDC2-F8B8AF8A9E0B}">
  <dimension ref="A2:F15"/>
  <sheetViews>
    <sheetView workbookViewId="0">
      <selection activeCell="R31" sqref="R3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8" width="15.33203125" bestFit="1" customWidth="1"/>
    <col min="9" max="9" width="11" bestFit="1" customWidth="1"/>
  </cols>
  <sheetData>
    <row r="2" spans="1:6" x14ac:dyDescent="0.35">
      <c r="A2" s="7" t="s">
        <v>6</v>
      </c>
      <c r="B2" t="s">
        <v>2068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8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8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8" t="s">
        <v>2063</v>
      </c>
      <c r="E9">
        <v>4</v>
      </c>
      <c r="F9">
        <v>4</v>
      </c>
    </row>
    <row r="10" spans="1:6" x14ac:dyDescent="0.35">
      <c r="A10" s="8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8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8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8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8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B520-25B9-4034-A30D-E626A09F6FC7}">
  <dimension ref="A2:F31"/>
  <sheetViews>
    <sheetView zoomScaleNormal="100" workbookViewId="0">
      <selection activeCell="A21" sqref="A21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2" spans="1:6" x14ac:dyDescent="0.35">
      <c r="A2" s="7" t="s">
        <v>6</v>
      </c>
      <c r="B2" t="s">
        <v>2068</v>
      </c>
    </row>
    <row r="3" spans="1:6" x14ac:dyDescent="0.35">
      <c r="A3" s="7" t="s">
        <v>2065</v>
      </c>
      <c r="B3" t="s">
        <v>2068</v>
      </c>
    </row>
    <row r="5" spans="1:6" x14ac:dyDescent="0.35">
      <c r="A5" s="7" t="s">
        <v>2070</v>
      </c>
      <c r="B5" s="7" t="s">
        <v>2069</v>
      </c>
    </row>
    <row r="6" spans="1:6" x14ac:dyDescent="0.35">
      <c r="A6" s="7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8" t="s">
        <v>2048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2041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35">
      <c r="A10" s="8" t="s">
        <v>2043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35">
      <c r="A11" s="8" t="s">
        <v>2042</v>
      </c>
      <c r="C11">
        <v>8</v>
      </c>
      <c r="E11">
        <v>10</v>
      </c>
      <c r="F11">
        <v>18</v>
      </c>
    </row>
    <row r="12" spans="1:6" x14ac:dyDescent="0.35">
      <c r="A12" s="8" t="s">
        <v>2052</v>
      </c>
      <c r="B12">
        <v>1</v>
      </c>
      <c r="C12">
        <v>7</v>
      </c>
      <c r="E12">
        <v>9</v>
      </c>
      <c r="F12">
        <v>17</v>
      </c>
    </row>
    <row r="13" spans="1:6" x14ac:dyDescent="0.35">
      <c r="A13" s="8" t="s">
        <v>2033</v>
      </c>
      <c r="B13">
        <v>4</v>
      </c>
      <c r="C13">
        <v>20</v>
      </c>
      <c r="E13">
        <v>22</v>
      </c>
      <c r="F13">
        <v>46</v>
      </c>
    </row>
    <row r="14" spans="1:6" x14ac:dyDescent="0.35">
      <c r="A14" s="8" t="s">
        <v>2044</v>
      </c>
      <c r="B14">
        <v>3</v>
      </c>
      <c r="C14">
        <v>19</v>
      </c>
      <c r="E14">
        <v>23</v>
      </c>
      <c r="F14">
        <v>45</v>
      </c>
    </row>
    <row r="15" spans="1:6" x14ac:dyDescent="0.35">
      <c r="A15" s="8" t="s">
        <v>2057</v>
      </c>
      <c r="B15">
        <v>1</v>
      </c>
      <c r="C15">
        <v>6</v>
      </c>
      <c r="E15">
        <v>10</v>
      </c>
      <c r="F15">
        <v>17</v>
      </c>
    </row>
    <row r="16" spans="1:6" x14ac:dyDescent="0.35">
      <c r="A16" s="8" t="s">
        <v>2056</v>
      </c>
      <c r="C16">
        <v>3</v>
      </c>
      <c r="E16">
        <v>4</v>
      </c>
      <c r="F16">
        <v>7</v>
      </c>
    </row>
    <row r="17" spans="1:6" x14ac:dyDescent="0.35">
      <c r="A17" s="8" t="s">
        <v>2060</v>
      </c>
      <c r="C17">
        <v>8</v>
      </c>
      <c r="D17">
        <v>1</v>
      </c>
      <c r="E17">
        <v>4</v>
      </c>
      <c r="F17">
        <v>13</v>
      </c>
    </row>
    <row r="18" spans="1:6" x14ac:dyDescent="0.35">
      <c r="A18" s="8" t="s">
        <v>2047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8" t="s">
        <v>2054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5">
      <c r="A20" s="8" t="s">
        <v>2039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5">
      <c r="A21" s="8" t="s">
        <v>2055</v>
      </c>
      <c r="C21">
        <v>4</v>
      </c>
      <c r="E21">
        <v>4</v>
      </c>
      <c r="F21">
        <v>8</v>
      </c>
    </row>
    <row r="22" spans="1:6" x14ac:dyDescent="0.35">
      <c r="A22" s="8" t="s">
        <v>2035</v>
      </c>
      <c r="B22">
        <v>6</v>
      </c>
      <c r="C22">
        <v>30</v>
      </c>
      <c r="E22">
        <v>49</v>
      </c>
      <c r="F22">
        <v>85</v>
      </c>
    </row>
    <row r="23" spans="1:6" x14ac:dyDescent="0.35">
      <c r="A23" s="8" t="s">
        <v>2062</v>
      </c>
      <c r="C23">
        <v>9</v>
      </c>
      <c r="E23">
        <v>5</v>
      </c>
      <c r="F23">
        <v>14</v>
      </c>
    </row>
    <row r="24" spans="1:6" x14ac:dyDescent="0.35">
      <c r="A24" s="8" t="s">
        <v>2051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5">
      <c r="A25" s="8" t="s">
        <v>2059</v>
      </c>
      <c r="B25">
        <v>3</v>
      </c>
      <c r="C25">
        <v>3</v>
      </c>
      <c r="E25">
        <v>11</v>
      </c>
      <c r="F25">
        <v>17</v>
      </c>
    </row>
    <row r="26" spans="1:6" x14ac:dyDescent="0.35">
      <c r="A26" s="8" t="s">
        <v>2058</v>
      </c>
      <c r="C26">
        <v>7</v>
      </c>
      <c r="E26">
        <v>14</v>
      </c>
      <c r="F26">
        <v>21</v>
      </c>
    </row>
    <row r="27" spans="1:6" x14ac:dyDescent="0.35">
      <c r="A27" s="8" t="s">
        <v>2050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5">
      <c r="A28" s="8" t="s">
        <v>2045</v>
      </c>
      <c r="C28">
        <v>16</v>
      </c>
      <c r="D28">
        <v>1</v>
      </c>
      <c r="E28">
        <v>28</v>
      </c>
      <c r="F28">
        <v>45</v>
      </c>
    </row>
    <row r="29" spans="1:6" x14ac:dyDescent="0.35">
      <c r="A29" s="8" t="s">
        <v>2037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5">
      <c r="A30" s="8" t="s">
        <v>2061</v>
      </c>
      <c r="E30">
        <v>3</v>
      </c>
      <c r="F30">
        <v>3</v>
      </c>
    </row>
    <row r="31" spans="1:6" x14ac:dyDescent="0.35">
      <c r="A31" s="8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A0FE-A95F-439C-8928-63D393334087}">
  <dimension ref="A1:E18"/>
  <sheetViews>
    <sheetView workbookViewId="0">
      <selection activeCell="C7" sqref="C7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7" t="s">
        <v>2065</v>
      </c>
      <c r="B1" t="s">
        <v>2068</v>
      </c>
    </row>
    <row r="2" spans="1:5" x14ac:dyDescent="0.35">
      <c r="A2" s="7" t="s">
        <v>2085</v>
      </c>
      <c r="B2" t="s">
        <v>2068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8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8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8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8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8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8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8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8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8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8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8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8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8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K21" sqref="K20:K2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style="4" customWidth="1"/>
    <col min="12" max="12" width="15.33203125" customWidth="1"/>
    <col min="13" max="13" width="13.4140625" customWidth="1"/>
    <col min="14" max="14" width="13.4140625" style="9" customWidth="1"/>
    <col min="15" max="15" width="13.4140625" customWidth="1"/>
    <col min="18" max="18" width="24.5" customWidth="1"/>
    <col min="19" max="20" width="14.33203125" customWidth="1"/>
    <col min="21" max="21" width="13.83203125" customWidth="1"/>
  </cols>
  <sheetData>
    <row r="1" spans="1:20" s="1" customFormat="1" ht="3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2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ref="O4:O67" si="3">(((M4/60)/60)/24)+DATE(1970,1,1)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2106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2106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si="3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ref="O68:O131" si="7">(((M68/60)/60)/24)+DATE(1970,1,1)</f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2106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2106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2106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2106</v>
      </c>
      <c r="H131">
        <v>55</v>
      </c>
      <c r="I131" s="4">
        <f t="shared" ref="I131:I194" si="9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si="7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ref="O132:O195" si="11">(((M132/60)/60)/24)+DATE(1970,1,1)</f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2106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2106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2106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2106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si="1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ref="O196:O259" si="15"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2106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2106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2106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si="15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ref="O260:O323" si="19">(((M260/60)/60)/24)+DATE(1970,1,1)</f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2106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2106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2106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2106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2106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ref="O324:O387" si="23">(((M324/60)/60)/24)+DATE(1970,1,1)</f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2106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si="23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ref="O388:O451" si="27"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2106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2106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2106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2106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2106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si="27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ref="O452:O515" si="31">(((M452/60)/60)/24)+DATE(1970,1,1)</f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2106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2106</v>
      </c>
      <c r="H515">
        <v>35</v>
      </c>
      <c r="I515" s="4">
        <f t="shared" ref="I515:I578" si="33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2106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ref="O516:O579" si="35">(((M516/60)/60)/24)+DATE(1970,1,1)</f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2106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2106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2106</v>
      </c>
      <c r="H579">
        <v>37</v>
      </c>
      <c r="I579" s="4">
        <f t="shared" ref="I579:I642" si="37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ref="O580:O643" si="39">(((M580/60)/60)/24)+DATE(1970,1,1)</f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2106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2106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2106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si="39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ref="O644:O707" si="43">(((M644/60)/60)/24)+DATE(1970,1,1)</f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2106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2106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2106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2106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2106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si="43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ref="O708:O771" si="47">(((M708/60)/60)/24)+DATE(1970,1,1)</f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2106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2106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2106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2106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2106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2106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2106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si="47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ref="O772:O835" si="51"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2106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2106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2106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si="51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ref="O836:O899" si="55"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2106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2106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si="55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ref="O900:O963" si="59">(((M900/60)/60)/24)+DATE(1970,1,1)</f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2106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2106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2106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2106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si="59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ref="O964:O1001" si="63">(((M964/60)/60)/24)+DATE(1970,1,1)</f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2106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2106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2106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ontainsText" dxfId="11" priority="2" operator="containsText" text="successful">
      <formula>NOT(ISERROR(SEARCH("successful",G1)))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canceled">
      <formula>NOT(ISERROR(SEARCH("canceled",G1)))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334D-7F9E-4C8E-A309-82E1521781F8}">
  <dimension ref="A1:H13"/>
  <sheetViews>
    <sheetView zoomScale="90" zoomScaleNormal="90" workbookViewId="0">
      <selection activeCell="P13" sqref="P13"/>
    </sheetView>
  </sheetViews>
  <sheetFormatPr defaultRowHeight="15.5" x14ac:dyDescent="0.35"/>
  <cols>
    <col min="1" max="1" width="23.58203125" customWidth="1"/>
    <col min="2" max="2" width="20.5" customWidth="1"/>
    <col min="3" max="3" width="16.9140625" customWidth="1"/>
    <col min="4" max="4" width="18.1640625" customWidth="1"/>
    <col min="5" max="6" width="11.6640625" customWidth="1"/>
    <col min="7" max="7" width="10.33203125" customWidth="1"/>
    <col min="8" max="8" width="11.33203125" customWidth="1"/>
  </cols>
  <sheetData>
    <row r="1" spans="1:8" s="1" customFormat="1" ht="31" x14ac:dyDescent="0.35">
      <c r="A1" s="1" t="s">
        <v>2086</v>
      </c>
      <c r="B1" s="2" t="s">
        <v>2087</v>
      </c>
      <c r="C1" s="2" t="s">
        <v>2088</v>
      </c>
      <c r="D1" s="2" t="s">
        <v>2089</v>
      </c>
      <c r="E1" s="2" t="s">
        <v>2090</v>
      </c>
      <c r="F1" s="2" t="s">
        <v>2091</v>
      </c>
      <c r="G1" s="2" t="s">
        <v>2092</v>
      </c>
      <c r="H1" s="2" t="s">
        <v>2093</v>
      </c>
    </row>
    <row r="2" spans="1:8" x14ac:dyDescent="0.35">
      <c r="A2" s="13" t="s">
        <v>2094</v>
      </c>
      <c r="B2" s="12">
        <f>COUNTIFS(outcome,"successful",goal,"&lt;1000")</f>
        <v>30</v>
      </c>
      <c r="C2" s="12">
        <f>COUNTIFS(outcome,"failed",goal,"&lt;1000")</f>
        <v>20</v>
      </c>
      <c r="D2" s="12">
        <f>COUNTIFS(outcome,"cancelled",goal,"&lt;1000")</f>
        <v>1</v>
      </c>
      <c r="E2" s="1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s="13" t="s">
        <v>2095</v>
      </c>
      <c r="B3" s="12">
        <f>COUNTIFS(outcome,"successful",goal,"&lt;=4999")-COUNTIFS(outcome,"successful",goal,"&lt;1000")</f>
        <v>191</v>
      </c>
      <c r="C3" s="12">
        <f>COUNTIFS(outcome,"failed",goal,"&lt;=4999")-COUNTIFS(outcome,"successful",goal,"&lt;1000")</f>
        <v>28</v>
      </c>
      <c r="D3" s="12">
        <f>COUNTIFS(outcome,"cancelled",goal,"&lt;=4999")-COUNTIFS(outcome,"cancelled",goal,"&lt;1000")</f>
        <v>2</v>
      </c>
      <c r="E3" s="12">
        <f t="shared" ref="E3:E13" si="0">SUM(B3:D3)</f>
        <v>221</v>
      </c>
      <c r="F3" s="14">
        <f t="shared" ref="F3:F13" si="1">B3/E3</f>
        <v>0.86425339366515841</v>
      </c>
      <c r="G3" s="14">
        <f t="shared" ref="G3:G13" si="2">C3/E3</f>
        <v>0.12669683257918551</v>
      </c>
      <c r="H3" s="14">
        <f t="shared" ref="H3:H13" si="3">D3/E3</f>
        <v>9.0497737556561094E-3</v>
      </c>
    </row>
    <row r="4" spans="1:8" x14ac:dyDescent="0.35">
      <c r="A4" s="13" t="s">
        <v>2096</v>
      </c>
      <c r="B4" s="12">
        <f>COUNTIFS(outcome,"successful",goal,"&lt;=9999")-COUNTIFS(outcome,"successful",goal,"&lt;5000")</f>
        <v>164</v>
      </c>
      <c r="C4" s="12">
        <f>COUNTIFS(outcome,"failed",goal,"&lt;=9999")-COUNTIFS(outcome,"failed",goal,"&lt;5000")</f>
        <v>126</v>
      </c>
      <c r="D4" s="12">
        <f>COUNTIFS(outcome,"cancelled",goal,"&lt;=9999")-COUNTIFS(outcome,"cancelled",goal,"&lt;5000")</f>
        <v>25</v>
      </c>
      <c r="E4" s="12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s="13" t="s">
        <v>2097</v>
      </c>
      <c r="B5" s="12">
        <f>COUNTIFS(outcome,"successful",goal,"&lt;=14999")-COUNTIFS(outcome,"successful",goal,"&lt;10000")</f>
        <v>4</v>
      </c>
      <c r="C5" s="12">
        <f>COUNTIFS(outcome,"failed",goal,"&lt;=14999")-COUNTIFS(outcome,"failed",goal,"&lt;10000")</f>
        <v>5</v>
      </c>
      <c r="D5" s="12">
        <f>COUNTIFS(outcome,"cancelled",goal,"&lt;=14999")-COUNTIFS(outcome,"cancelled",goal,"&lt;10000")</f>
        <v>0</v>
      </c>
      <c r="E5" s="12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s="13" t="s">
        <v>2098</v>
      </c>
      <c r="B6" s="12">
        <f>COUNTIFS(outcome,"successful",goal,"&lt;=19999")-COUNTIFS(outcome,"successful",goal,"&lt;15000")</f>
        <v>10</v>
      </c>
      <c r="C6" s="12">
        <f>COUNTIFS(outcome,"failed",goal,"&lt;=19999")-COUNTIFS(outcome,"failed",goal,"&lt;15000")</f>
        <v>0</v>
      </c>
      <c r="D6" s="12">
        <f>COUNTIFS(outcome,"cancelled",goal,"&lt;=19999")-COUNTIFS(outcome,"cancelled",goal,"&lt;15000")</f>
        <v>0</v>
      </c>
      <c r="E6" s="12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s="13" t="s">
        <v>2099</v>
      </c>
      <c r="B7" s="12">
        <f>COUNTIFS(outcome,"successful",goal,"&lt;=24999")-COUNTIFS(outcome,"successful",goal,"&lt;20000")</f>
        <v>7</v>
      </c>
      <c r="C7" s="12">
        <f>COUNTIFS(outcome,"failed",goal,"&lt;=24999")-COUNTIFS(outcome,"failed",goal,"&lt;20000")</f>
        <v>0</v>
      </c>
      <c r="D7" s="12">
        <f>COUNTIFS(outcome,"cancelled",goal,"&lt;=24999")-COUNTIFS(outcome,"cancelled",goal,"&lt;20000")</f>
        <v>0</v>
      </c>
      <c r="E7" s="12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s="13" t="s">
        <v>2100</v>
      </c>
      <c r="B8" s="12">
        <f>COUNTIFS(outcome,"successful",goal,"&lt;=29999")-COUNTIFS(outcome,"successful",goal,"&lt;25000")</f>
        <v>11</v>
      </c>
      <c r="C8" s="12">
        <f>COUNTIFS(outcome,"successful",goal,"&lt;=29999")-COUNTIFS(outcome,"successful",goal,"&lt;25000")</f>
        <v>11</v>
      </c>
      <c r="D8" s="12">
        <f>COUNTIFS(outcome,"cancelled",goal,"&lt;=29999")-COUNTIFS(outcome,"cancelled",goal,"&lt;25000")</f>
        <v>0</v>
      </c>
      <c r="E8" s="12">
        <f t="shared" si="0"/>
        <v>22</v>
      </c>
      <c r="F8" s="14">
        <f t="shared" si="1"/>
        <v>0.5</v>
      </c>
      <c r="G8" s="14">
        <f t="shared" si="2"/>
        <v>0.5</v>
      </c>
      <c r="H8" s="14">
        <f t="shared" si="3"/>
        <v>0</v>
      </c>
    </row>
    <row r="9" spans="1:8" x14ac:dyDescent="0.35">
      <c r="A9" s="13" t="s">
        <v>2101</v>
      </c>
      <c r="B9" s="12">
        <f>COUNTIFS(outcome,"successful",goal,"&lt;=34999")-COUNTIFS(outcome,"successful",goal,"&lt;30000")</f>
        <v>7</v>
      </c>
      <c r="C9" s="12">
        <f>COUNTIFS(outcome,"failed",goal,"&lt;=34999")-COUNTIFS(outcome,"failed",goal,"&lt;30000")</f>
        <v>0</v>
      </c>
      <c r="D9" s="12">
        <f>COUNTIFS(outcome,"cancelled",goal,"&lt;=34999")-COUNTIFS(outcome,"cancelled",goal,"&lt;30000")</f>
        <v>0</v>
      </c>
      <c r="E9" s="12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s="13" t="s">
        <v>2102</v>
      </c>
      <c r="B10" s="12">
        <f>COUNTIFS(outcome,"successful",goal,"&lt;=39999")-COUNTIFS(outcome,"successful",goal,"&lt;35000")</f>
        <v>8</v>
      </c>
      <c r="C10" s="12">
        <f>COUNTIFS(outcome,"failed",goal,"&lt;=39999")-COUNTIFS(outcome,"failed",goal,"&lt;35000")</f>
        <v>3</v>
      </c>
      <c r="D10" s="12">
        <f>COUNTIFS(outcome,"cancelled",goal,"&lt;=39999")-COUNTIFS(outcome,"cancelled",goal,"&lt;35000")</f>
        <v>1</v>
      </c>
      <c r="E10" s="12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s="13" t="s">
        <v>2103</v>
      </c>
      <c r="B11" s="12">
        <f>COUNTIFS(outcome,"successful",goal,"&lt;=44999")-COUNTIFS(outcome,"successful",goal,"&lt;40000")</f>
        <v>11</v>
      </c>
      <c r="C11" s="12">
        <f>COUNTIFS(outcome,"failed",goal,"&lt;=44999")-COUNTIFS(outcome,"failed",goal,"&lt;40000")</f>
        <v>3</v>
      </c>
      <c r="D11" s="12">
        <f>COUNTIFS(outcome,"cancelled",goal,"&lt;=44999")-COUNTIFS(outcome,"cancelled",goal,"&lt;40000")</f>
        <v>0</v>
      </c>
      <c r="E11" s="12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s="13" t="s">
        <v>2104</v>
      </c>
      <c r="B12" s="12">
        <f>COUNTIFS(outcome,"successful",goal,"&lt;=49999")-COUNTIFS(outcome,"successful",goal,"&lt;45000")</f>
        <v>8</v>
      </c>
      <c r="C12" s="12">
        <f>COUNTIFS(outcome,"failed",goal,"&lt;=49999")-COUNTIFS(outcome,"failed",goal,"&lt;45000")</f>
        <v>3</v>
      </c>
      <c r="D12" s="12">
        <f>COUNTIFS(outcome,"cancelled",goal,"&lt;=49999")-COUNTIFS(outcome,"cancelled",goal,"&lt;45000")</f>
        <v>0</v>
      </c>
      <c r="E12" s="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ht="26" x14ac:dyDescent="0.35">
      <c r="A13" s="13" t="s">
        <v>2105</v>
      </c>
      <c r="B13" s="12">
        <f>COUNTIFS(outcome,"successful",goal,"&gt;=50000")</f>
        <v>114</v>
      </c>
      <c r="C13" s="12">
        <f>COUNTIFS(outcome,"failed",goal,"&gt;=50000")</f>
        <v>163</v>
      </c>
      <c r="D13" s="12">
        <f>COUNTIFS(outcome,"cancelled",goal,"&gt;=50000")</f>
        <v>28</v>
      </c>
      <c r="E13" s="12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984C-49FB-408E-883E-B82A0D76DB69}">
  <dimension ref="A1:K566"/>
  <sheetViews>
    <sheetView tabSelected="1" workbookViewId="0">
      <selection activeCell="J10" sqref="J10"/>
    </sheetView>
  </sheetViews>
  <sheetFormatPr defaultRowHeight="15.5" x14ac:dyDescent="0.35"/>
  <cols>
    <col min="1" max="1" width="13.58203125" customWidth="1"/>
    <col min="2" max="2" width="14.58203125" customWidth="1"/>
    <col min="4" max="4" width="8.6640625" customWidth="1"/>
    <col min="8" max="8" width="12.5" bestFit="1" customWidth="1"/>
    <col min="9" max="9" width="23.5" style="15" bestFit="1" customWidth="1"/>
    <col min="10" max="10" width="20.08203125" bestFit="1" customWidth="1"/>
    <col min="11" max="11" width="24.5" bestFit="1" customWidth="1"/>
  </cols>
  <sheetData>
    <row r="1" spans="1:11" x14ac:dyDescent="0.35">
      <c r="A1" s="1" t="s">
        <v>4</v>
      </c>
      <c r="B1" s="1" t="s">
        <v>5</v>
      </c>
      <c r="C1" s="1" t="s">
        <v>4</v>
      </c>
      <c r="D1" s="1" t="s">
        <v>5</v>
      </c>
      <c r="G1" t="s">
        <v>2107</v>
      </c>
      <c r="H1" t="s">
        <v>2113</v>
      </c>
      <c r="I1" s="15" t="s">
        <v>2112</v>
      </c>
      <c r="J1" t="s">
        <v>2111</v>
      </c>
      <c r="K1" t="s">
        <v>2110</v>
      </c>
    </row>
    <row r="2" spans="1:11" x14ac:dyDescent="0.35">
      <c r="A2" t="s">
        <v>20</v>
      </c>
      <c r="B2">
        <v>158</v>
      </c>
      <c r="C2" t="s">
        <v>14</v>
      </c>
      <c r="D2">
        <v>0</v>
      </c>
      <c r="G2" t="s">
        <v>2108</v>
      </c>
      <c r="H2">
        <f>AVERAGE(B2:B566)</f>
        <v>851.14690265486729</v>
      </c>
      <c r="I2" s="16">
        <f>MEDIAN(B2:B566)</f>
        <v>201</v>
      </c>
      <c r="J2">
        <f>MIN(B2:B566)</f>
        <v>16</v>
      </c>
      <c r="K2">
        <f>MAX(B2:B566)</f>
        <v>7295</v>
      </c>
    </row>
    <row r="3" spans="1:11" x14ac:dyDescent="0.35">
      <c r="A3" t="s">
        <v>20</v>
      </c>
      <c r="B3">
        <v>1425</v>
      </c>
      <c r="C3" t="s">
        <v>14</v>
      </c>
      <c r="D3">
        <v>24</v>
      </c>
      <c r="G3" t="s">
        <v>2109</v>
      </c>
      <c r="H3">
        <f>AVERAGE(D2:D365)</f>
        <v>585.61538461538464</v>
      </c>
      <c r="I3" s="16">
        <f>MEDIAN(D2:D365)</f>
        <v>114.5</v>
      </c>
      <c r="J3">
        <f>MIN(D2:D365)</f>
        <v>0</v>
      </c>
      <c r="K3">
        <f>MAX(D2:D365)</f>
        <v>6080</v>
      </c>
    </row>
    <row r="4" spans="1:11" x14ac:dyDescent="0.35">
      <c r="A4" t="s">
        <v>20</v>
      </c>
      <c r="B4">
        <v>174</v>
      </c>
      <c r="C4" t="s">
        <v>14</v>
      </c>
      <c r="D4">
        <v>53</v>
      </c>
    </row>
    <row r="5" spans="1:11" x14ac:dyDescent="0.35">
      <c r="A5" t="s">
        <v>20</v>
      </c>
      <c r="B5">
        <v>227</v>
      </c>
      <c r="C5" t="s">
        <v>14</v>
      </c>
      <c r="D5">
        <v>18</v>
      </c>
    </row>
    <row r="6" spans="1:11" x14ac:dyDescent="0.35">
      <c r="A6" t="s">
        <v>20</v>
      </c>
      <c r="B6">
        <v>220</v>
      </c>
      <c r="C6" t="s">
        <v>14</v>
      </c>
      <c r="D6">
        <v>44</v>
      </c>
    </row>
    <row r="7" spans="1:11" x14ac:dyDescent="0.35">
      <c r="A7" t="s">
        <v>20</v>
      </c>
      <c r="B7">
        <v>98</v>
      </c>
      <c r="C7" t="s">
        <v>14</v>
      </c>
      <c r="D7">
        <v>27</v>
      </c>
    </row>
    <row r="8" spans="1:11" x14ac:dyDescent="0.35">
      <c r="A8" t="s">
        <v>20</v>
      </c>
      <c r="B8">
        <v>100</v>
      </c>
      <c r="C8" t="s">
        <v>14</v>
      </c>
      <c r="D8">
        <v>55</v>
      </c>
    </row>
    <row r="9" spans="1:11" x14ac:dyDescent="0.35">
      <c r="A9" t="s">
        <v>20</v>
      </c>
      <c r="B9">
        <v>1249</v>
      </c>
      <c r="C9" t="s">
        <v>14</v>
      </c>
      <c r="D9">
        <v>200</v>
      </c>
    </row>
    <row r="10" spans="1:11" x14ac:dyDescent="0.35">
      <c r="A10" t="s">
        <v>20</v>
      </c>
      <c r="B10">
        <v>1396</v>
      </c>
      <c r="C10" t="s">
        <v>14</v>
      </c>
      <c r="D10">
        <v>452</v>
      </c>
    </row>
    <row r="11" spans="1:11" x14ac:dyDescent="0.35">
      <c r="A11" t="s">
        <v>20</v>
      </c>
      <c r="B11">
        <v>890</v>
      </c>
      <c r="C11" t="s">
        <v>14</v>
      </c>
      <c r="D11">
        <v>674</v>
      </c>
    </row>
    <row r="12" spans="1:11" x14ac:dyDescent="0.35">
      <c r="A12" t="s">
        <v>20</v>
      </c>
      <c r="B12">
        <v>142</v>
      </c>
      <c r="C12" t="s">
        <v>14</v>
      </c>
      <c r="D12">
        <v>558</v>
      </c>
    </row>
    <row r="13" spans="1:11" x14ac:dyDescent="0.35">
      <c r="A13" t="s">
        <v>20</v>
      </c>
      <c r="B13">
        <v>2673</v>
      </c>
      <c r="C13" t="s">
        <v>14</v>
      </c>
      <c r="D13">
        <v>15</v>
      </c>
    </row>
    <row r="14" spans="1:11" x14ac:dyDescent="0.35">
      <c r="A14" t="s">
        <v>20</v>
      </c>
      <c r="B14">
        <v>163</v>
      </c>
      <c r="C14" t="s">
        <v>14</v>
      </c>
      <c r="D14">
        <v>2307</v>
      </c>
    </row>
    <row r="15" spans="1:11" x14ac:dyDescent="0.35">
      <c r="A15" t="s">
        <v>20</v>
      </c>
      <c r="B15">
        <v>2220</v>
      </c>
      <c r="C15" t="s">
        <v>14</v>
      </c>
      <c r="D15">
        <v>88</v>
      </c>
    </row>
    <row r="16" spans="1:11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successful">
      <formula>NOT(ISERROR(SEARCH("successful",A1)))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successful">
      <formula>NOT(ISERROR(SEARCH("successful",C1)))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canceled">
      <formula>NOT(ISERROR(SEARCH("canceled",C1)))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Sheet3</vt:lpstr>
      <vt:lpstr>Sheet4</vt:lpstr>
      <vt:lpstr>Sheet5</vt:lpstr>
      <vt:lpstr>Crowdfunding</vt:lpstr>
      <vt:lpstr>Bonus</vt:lpstr>
      <vt:lpstr>Bonus Statistical Anlysis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 Nguyen</cp:lastModifiedBy>
  <dcterms:created xsi:type="dcterms:W3CDTF">2021-09-29T18:52:28Z</dcterms:created>
  <dcterms:modified xsi:type="dcterms:W3CDTF">2023-06-11T12:28:51Z</dcterms:modified>
</cp:coreProperties>
</file>