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4.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1"/>
  </bookViews>
  <sheets>
    <sheet name="Instrucciones" sheetId="1" state="visible" r:id="rId2"/>
    <sheet name="Token modif. ext. 3 Pc's" sheetId="2" state="visible" r:id="rId3"/>
    <sheet name="Escenario 1" sheetId="3" state="visible" r:id="rId4"/>
    <sheet name="Escenario 2" sheetId="4" state="visible" r:id="rId5"/>
    <sheet name="Escenario 3"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<sst xmlns="http://schemas.openxmlformats.org/spreadsheetml/2006/main" count="1154" uniqueCount="302">
  <si>
    <t>Actividad 2 O.d.A. 2.2</t>
  </si>
  <si>
    <t>Equipo</t>
  </si>
  <si>
    <t>Kimberly Giovanna Coronel Sánchez</t>
  </si>
  <si>
    <t>A01166094</t>
  </si>
  <si>
    <t>Materia</t>
  </si>
  <si>
    <t>Métodos cuantitativos y de simulación</t>
  </si>
  <si>
    <t>Iván David Díaz Sánchez</t>
  </si>
  <si>
    <t>A01371166</t>
  </si>
  <si>
    <t>Profesor</t>
  </si>
  <si>
    <t>Dr. Raúl Monroy Borja</t>
  </si>
  <si>
    <t>Objetivo</t>
  </si>
  <si>
    <t>Modelar y analizar el comportamiento dinámico de un sistema, mediante cadenas de Markov, abstrayendo aspectos irrelevantes para la tarea de análisis. </t>
  </si>
  <si>
    <t>Instrucciones</t>
  </si>
  <si>
    <t>Analizar la actuación de un protocolo real de acceso al medio TOKEN RING extendido, limitado a unos cuantos participantes. </t>
  </si>
  <si>
    <t>Token modificado extendido con 3 Pc's</t>
  </si>
  <si>
    <t>Tasa de arribo de paquetes de datos</t>
  </si>
  <si>
    <t>Tasa de transmisión de paquetes de datos</t>
  </si>
  <si>
    <t>Estados posibles (Pc1,Pc2,Pc3,T)</t>
  </si>
  <si>
    <t>Valores del vector π</t>
  </si>
  <si>
    <t>λ = </t>
  </si>
  <si>
    <t>μ = </t>
  </si>
  <si>
    <t>1 - (0, 0, 0, -3)                                -   w(4)</t>
  </si>
  <si>
    <t>π1</t>
  </si>
  <si>
    <t>2 - (0, 0, 0, -2)                                -   w(6)</t>
  </si>
  <si>
    <t>π2</t>
  </si>
  <si>
    <t>3 - (0, 0, 0, -1)                                -   w(5)</t>
  </si>
  <si>
    <t>π3</t>
  </si>
  <si>
    <t>4 - (0, 0, 0, 1)   -   l(10,21,52)               -   w(5)</t>
  </si>
  <si>
    <t>π4</t>
  </si>
  <si>
    <t>Utilización</t>
  </si>
  <si>
    <t>Desempeño</t>
  </si>
  <si>
    <t>5 - (0, 0, 0, 2)   -   l(11,22,53)               -   w(6)</t>
  </si>
  <si>
    <t>π5</t>
  </si>
  <si>
    <t>E(U) =</t>
  </si>
  <si>
    <t>E(X) =</t>
  </si>
  <si>
    <t>6 - (0, 0, 0, 3)   -   l(12,23,54)               -   w(4)</t>
  </si>
  <si>
    <t>π6</t>
  </si>
  <si>
    <t>7 - (0, 0, 1, -3)                                -   w(10)</t>
  </si>
  <si>
    <t>π7</t>
  </si>
  <si>
    <t>8 - (0, 0, 1, -2)                                -   w(12)</t>
  </si>
  <si>
    <t>π8</t>
  </si>
  <si>
    <t>9 - (0, 0, 1, -1)                                -   w(11)</t>
  </si>
  <si>
    <t>π9</t>
  </si>
  <si>
    <t>10 - (0, 0, 1, 1)  -   l(15,27,58)               -   w(11)</t>
  </si>
  <si>
    <t>π10</t>
  </si>
  <si>
    <t>Número de paquetes de datos</t>
  </si>
  <si>
    <t>11 - (0, 0, 1, 2)  -   l(16,28,59)               -   w(12)</t>
  </si>
  <si>
    <t>π11</t>
  </si>
  <si>
    <t>E(N) =</t>
  </si>
  <si>
    <t>Tiempo de residencia</t>
  </si>
  <si>
    <t>12 - (0, 0, 1, 3)  -   l(17,29,60)   -   m(1)</t>
  </si>
  <si>
    <t>π12</t>
  </si>
  <si>
    <t>E(W) =</t>
  </si>
  <si>
    <t>13 - (0, 0, 2, -2)                               -   w(17)</t>
  </si>
  <si>
    <t>π13</t>
  </si>
  <si>
    <t>14 - (0, 0, 2, -1)                               -   w(16)</t>
  </si>
  <si>
    <t>π14</t>
  </si>
  <si>
    <t>15 - (0, 0, 2, 1)  -   l(32,63)                  -   w(16)</t>
  </si>
  <si>
    <t>π15</t>
  </si>
  <si>
    <t>16 - (0, 0, 2, 2)  -   l(33,64)                  -   w(17)</t>
  </si>
  <si>
    <t>π16</t>
  </si>
  <si>
    <t>17 - (0, 0, 2, 3)  -   l(34,65)      -   m(7)</t>
  </si>
  <si>
    <t>π17</t>
  </si>
  <si>
    <t>18 - (0, 1, 0, -3)                               -   w(21)</t>
  </si>
  <si>
    <t>π18</t>
  </si>
  <si>
    <t>19 - (0, 1, 0, -2)                               -   w(23)</t>
  </si>
  <si>
    <t>π19</t>
  </si>
  <si>
    <t>20 - (0, 1, 0, -1)                               -   w(22)</t>
  </si>
  <si>
    <t>π20</t>
  </si>
  <si>
    <t>21 - (0, 1, 0, 1)  -   l(27,37,69)               -   w(22)</t>
  </si>
  <si>
    <t>π21</t>
  </si>
  <si>
    <t>22 - (0, 1, 0, 2)  -   l(28,38,70)   -   m(2)</t>
  </si>
  <si>
    <t>π22</t>
  </si>
  <si>
    <t>23 - (0, 1, 0, 3)  -   l(29,39,71)               -   w(21)</t>
  </si>
  <si>
    <t>π23</t>
  </si>
  <si>
    <t>24 - (0, 1, 1, -3)                               -   w(27)</t>
  </si>
  <si>
    <t>π24</t>
  </si>
  <si>
    <t>25 - (0, 1, 1, -2)                               -   w(29)</t>
  </si>
  <si>
    <t>π25</t>
  </si>
  <si>
    <t>26 - (0, 1, 1, -1)                               -   w(28)</t>
  </si>
  <si>
    <t>π26</t>
  </si>
  <si>
    <t>27 - (0, 1, 1, 1)  -   l(32,42,75)               -   w(28)</t>
  </si>
  <si>
    <t>π27</t>
  </si>
  <si>
    <t>28 - (0, 1, 1, 2)  -   l(33,43,76)   -   m(8)</t>
  </si>
  <si>
    <t>π28</t>
  </si>
  <si>
    <t>29 - (0, 1, 1, 3)  -   l(34,44,77)   -   m(18)</t>
  </si>
  <si>
    <t>π29</t>
  </si>
  <si>
    <t>30 - (0, 1, 2, -2)                               -   w(34)</t>
  </si>
  <si>
    <t>π30</t>
  </si>
  <si>
    <t>31 - (0, 1, 2, -1)                               -   w(33)</t>
  </si>
  <si>
    <t>π31</t>
  </si>
  <si>
    <t>32 - (0, 1, 2, 1)  -   l(46,80)                  -   w(33)</t>
  </si>
  <si>
    <t>π32</t>
  </si>
  <si>
    <t>33 - (0, 1, 2, 2)  -   l(47,81)      -   m(13)</t>
  </si>
  <si>
    <t>π33</t>
  </si>
  <si>
    <t>34 - (0, 1, 2, 3)  -   l(48,82)      -   m(24)</t>
  </si>
  <si>
    <t>π34</t>
  </si>
  <si>
    <t>35 - (0, 2, 0, -3)                               -   w(37)</t>
  </si>
  <si>
    <t>π35</t>
  </si>
  <si>
    <t>36 - (0, 2, 0, -1)                               -   w(38)</t>
  </si>
  <si>
    <t>π36</t>
  </si>
  <si>
    <t>37 - (0, 2, 0, 1)  -   l(42,85)                  -   w(38)</t>
  </si>
  <si>
    <t>π37</t>
  </si>
  <si>
    <t>38 - (0, 2, 0, 2)  -   l(43,86)      -   m(19)</t>
  </si>
  <si>
    <t>π38</t>
  </si>
  <si>
    <t>39 - (0, 2, 0, 3)  -   l(44,87)                  -   w(37)</t>
  </si>
  <si>
    <t>π39</t>
  </si>
  <si>
    <t>40 - (0, 2, 1, -3)                               -   w(42)</t>
  </si>
  <si>
    <t>π40</t>
  </si>
  <si>
    <t>41 - (0, 2, 1, -1)                               -   w(43)</t>
  </si>
  <si>
    <t>π41</t>
  </si>
  <si>
    <t>42 - (0, 2, 1, 1)  -   l(46,90)                  -   w(43)</t>
  </si>
  <si>
    <t>π42</t>
  </si>
  <si>
    <t>43 - (0, 2, 1, 2)  -   l(47,91)      -   m(25)</t>
  </si>
  <si>
    <t>π43</t>
  </si>
  <si>
    <t>44 - (0, 2, 1, 3)  -   l(48,92)      -   m(35)</t>
  </si>
  <si>
    <t>π44</t>
  </si>
  <si>
    <t>45 - (0, 2, 2, -1)                               -   w(47)</t>
  </si>
  <si>
    <t>π45</t>
  </si>
  <si>
    <t>46 - (0, 2, 2, 1)  -   l(94)                     -   w(47)</t>
  </si>
  <si>
    <t>π46</t>
  </si>
  <si>
    <t>47 - (0, 2, 2, 2)  -   l(95)         -   m(30)</t>
  </si>
  <si>
    <t>π47</t>
  </si>
  <si>
    <t>48 - (0, 2, 2, 3)  -   l(96)         -   m(40)</t>
  </si>
  <si>
    <t>π48</t>
  </si>
  <si>
    <t>49 - (1, 0, 0, -3)                               -   w(52)</t>
  </si>
  <si>
    <t>π49</t>
  </si>
  <si>
    <t>50 - (1, 0, 0, -2)                               -   w(54)</t>
  </si>
  <si>
    <t>π50</t>
  </si>
  <si>
    <t>51 - (1, 0, 0, -1)                               -   w(53)</t>
  </si>
  <si>
    <t>π51</t>
  </si>
  <si>
    <t>52 - (1, 0, 0, 1)  -   l(58,69,99)   -   m(3)</t>
  </si>
  <si>
    <t>π52</t>
  </si>
  <si>
    <t>53 - (1, 0, 0, 2)  -   l(59,70,100)              -   w(54)</t>
  </si>
  <si>
    <t>π53</t>
  </si>
  <si>
    <t>54 - (1, 0, 0, 3)  -   l(60,71,101)              -   w(52)</t>
  </si>
  <si>
    <t>π54</t>
  </si>
  <si>
    <t>55 - (1, 0, 1, -3)                               -   w(58)</t>
  </si>
  <si>
    <t>π55</t>
  </si>
  <si>
    <t>56 - (1, 0, 1, -2)                               -   w(60)</t>
  </si>
  <si>
    <t>π56</t>
  </si>
  <si>
    <t>57 - (1, 0, 1, -1)                               -   w(59)</t>
  </si>
  <si>
    <t>π57</t>
  </si>
  <si>
    <t>58 - (1, 0, 1, 1)  -   l(63,75,104)  -   m(9)</t>
  </si>
  <si>
    <t>π58</t>
  </si>
  <si>
    <t>59 - (1, 0, 1, 2)  -   l(64,76,105)              -   w(60)</t>
  </si>
  <si>
    <t>π59</t>
  </si>
  <si>
    <t>60 - (1, 0, 1, 3)  -   l(65,77,106)  -   m(49)</t>
  </si>
  <si>
    <t>π60</t>
  </si>
  <si>
    <t>61 - (1, 0, 2, -2)                               -   w(65)</t>
  </si>
  <si>
    <t>π61</t>
  </si>
  <si>
    <t>62 - (1, 0, 2, -1)                               -   w(64)</t>
  </si>
  <si>
    <t>π62</t>
  </si>
  <si>
    <t>63 - (1, 0, 2, 1)  -   l(80,108)     -   m(14)</t>
  </si>
  <si>
    <t>π63</t>
  </si>
  <si>
    <t>64 - (1, 0, 2, 2)  -   l(81,109)                 -   w(65)</t>
  </si>
  <si>
    <t>π64</t>
  </si>
  <si>
    <t>65 - (1, 0, 2, 3)  -   l(82,110)     -   m(55)</t>
  </si>
  <si>
    <t>π65</t>
  </si>
  <si>
    <t>66 - (1, 1, 0, -3)                               -   w(69)</t>
  </si>
  <si>
    <t>π66</t>
  </si>
  <si>
    <t>67 - (1, 1, 0, -2)                               -   w(71)</t>
  </si>
  <si>
    <t>π67</t>
  </si>
  <si>
    <t>68 - (1, 1, 0, -1)                               -   w(70)</t>
  </si>
  <si>
    <t>π68</t>
  </si>
  <si>
    <t>69 - (1, 1, 0, 1)  -   l(75,85,113)  -   m(20)</t>
  </si>
  <si>
    <t>π69</t>
  </si>
  <si>
    <t>70 - (1, 1, 0, 2)  -   l(76,86,114)  -   m(50)</t>
  </si>
  <si>
    <t>π70</t>
  </si>
  <si>
    <t>71 - (1, 1, 0, 3)  -   l(77,87,115)              -   w(69)</t>
  </si>
  <si>
    <t>π71</t>
  </si>
  <si>
    <t>72 - (1, 1, 1, -3)                               -   w(75)</t>
  </si>
  <si>
    <t>π72</t>
  </si>
  <si>
    <t>73 - (1, 1, 1, -2)                               -   w(77)</t>
  </si>
  <si>
    <t>π73</t>
  </si>
  <si>
    <t>74 - (1, 1, 1, -1)                               -   w(76)</t>
  </si>
  <si>
    <t>π74</t>
  </si>
  <si>
    <t>75 - (1, 1, 1, 1)  -   l(80,90,118)  -   m(26)</t>
  </si>
  <si>
    <t>π75</t>
  </si>
  <si>
    <t>76 - (1, 1, 1, 2)  -   l(81,91,119)  -   m(56)</t>
  </si>
  <si>
    <t>π76</t>
  </si>
  <si>
    <t>77 - (1, 1, 1, 3)  -   l(82,92,120)  -   m(66)</t>
  </si>
  <si>
    <t>π77</t>
  </si>
  <si>
    <t>78 - (1, 1, 2, -2)                               -   w(82)</t>
  </si>
  <si>
    <t>π78</t>
  </si>
  <si>
    <t>79 - (1, 1, 2, -1)                               -   w(81)</t>
  </si>
  <si>
    <t>π79</t>
  </si>
  <si>
    <t>80 - (1, 1, 2, 1)  -   l(94,122)     -   m(31)</t>
  </si>
  <si>
    <t>π80</t>
  </si>
  <si>
    <t>81 - (1, 1, 2, 2)  -   l(95,123)     -   m(61)</t>
  </si>
  <si>
    <t>π81</t>
  </si>
  <si>
    <t>82 - (1, 1, 2, 3)  -   l(96,124)     -   m(72)</t>
  </si>
  <si>
    <t>π82</t>
  </si>
  <si>
    <t>83 - (1, 2, 0, -3)                               -   w(85)</t>
  </si>
  <si>
    <t>π83</t>
  </si>
  <si>
    <t>84 - (1, 2, 0, -1)                               -   w(86)</t>
  </si>
  <si>
    <t>π84</t>
  </si>
  <si>
    <t>85 - (1, 2, 0, 1)  -   l(90,126)     -   m(36)</t>
  </si>
  <si>
    <t>π85</t>
  </si>
  <si>
    <t>86 - (1, 2, 0, 2)  -   l(91,127)     -   m(67)</t>
  </si>
  <si>
    <t>π86</t>
  </si>
  <si>
    <t>87 - (1, 2, 0, 3)  -   l(92,128)                 -   w(85)</t>
  </si>
  <si>
    <t>π87</t>
  </si>
  <si>
    <t>88 - (1, 2, 1, -3)                               -   w(90)</t>
  </si>
  <si>
    <t>π88</t>
  </si>
  <si>
    <t>89 - (1, 2, 1, -1)                               -   w(91)</t>
  </si>
  <si>
    <t>π89</t>
  </si>
  <si>
    <t>90 - (1, 2, 1, 1)  -   l(94,130)     -   m(41)</t>
  </si>
  <si>
    <t>π90</t>
  </si>
  <si>
    <t>91 - (1, 2, 1, 2)  -   l(95,131)     -   m(73)</t>
  </si>
  <si>
    <t>π91</t>
  </si>
  <si>
    <t>92 - (1, 2, 1, 3)  -   l(96,132)     -   m(83)</t>
  </si>
  <si>
    <t>π92</t>
  </si>
  <si>
    <t>93 - (1, 2, 2, -1)                               -   w(95)</t>
  </si>
  <si>
    <t>π93</t>
  </si>
  <si>
    <t>94 - (1, 2, 2, 1)  -   l(133)        -   m(45)</t>
  </si>
  <si>
    <t>π94</t>
  </si>
  <si>
    <t>95 - (1, 2, 2, 2)  -   l(134)        -   m(78)</t>
  </si>
  <si>
    <t>π95</t>
  </si>
  <si>
    <t>96 - (1, 2, 2, 3)  -   l(135)        -   m(88)</t>
  </si>
  <si>
    <t>π96</t>
  </si>
  <si>
    <t>97 - (2, 0, 0, -3)                               -   w(99)</t>
  </si>
  <si>
    <t>π97</t>
  </si>
  <si>
    <t>98 - (2, 0, 0, -2)                               -   w(101)</t>
  </si>
  <si>
    <t>π98</t>
  </si>
  <si>
    <t>99 - (2, 0, 0, 1)  -   l(104,113)    -   m(51)</t>
  </si>
  <si>
    <t>π99</t>
  </si>
  <si>
    <t>100 - (2, 0, 0, 2) -   l(105,114)                -   w(101)</t>
  </si>
  <si>
    <t>π100</t>
  </si>
  <si>
    <t>101 - (2, 0, 0, 3) -   l(106,115)                -   w(99)</t>
  </si>
  <si>
    <t>π101</t>
  </si>
  <si>
    <t>102 - (2, 0, 1, -3)                              -   w(104)</t>
  </si>
  <si>
    <t>π102</t>
  </si>
  <si>
    <t>103 - (2, 0, 1, -2)                              -   w(106)</t>
  </si>
  <si>
    <t>π103</t>
  </si>
  <si>
    <t>104 - (2, 0, 1, 1) -   l(108,118)    -   m(57)</t>
  </si>
  <si>
    <t>π104</t>
  </si>
  <si>
    <t>105 - (2, 0, 1, 2) -   l(109,119)                -   w(106)</t>
  </si>
  <si>
    <t>π105</t>
  </si>
  <si>
    <t>106 - (2, 0, 1, 3) -   l(110,120)    -   m(97)</t>
  </si>
  <si>
    <t>π106</t>
  </si>
  <si>
    <t>107 - (2, 0, 2, -2)                              -   w(110)</t>
  </si>
  <si>
    <t>π107</t>
  </si>
  <si>
    <t>108 - (2, 0, 2, 1) -   l(122)        -   m(62)</t>
  </si>
  <si>
    <t>π108</t>
  </si>
  <si>
    <t>109 - (2, 0, 2, 2) -   l(123)                    -   w(110)</t>
  </si>
  <si>
    <t>π109</t>
  </si>
  <si>
    <t>110 - (2, 0, 2, 3) -   l(124)        -   m(102)</t>
  </si>
  <si>
    <t>π110</t>
  </si>
  <si>
    <t>111 - (2, 1, 0, -3)                              -   w(113)</t>
  </si>
  <si>
    <t>π111</t>
  </si>
  <si>
    <t>112 - (2, 1, 0, -2)                              -   w(115)</t>
  </si>
  <si>
    <t>π112</t>
  </si>
  <si>
    <t>113 - (2, 1, 0, 1) -   l(118,126)    -   m(68)</t>
  </si>
  <si>
    <t>π113</t>
  </si>
  <si>
    <t>114 - (2, 1, 0, 2) -   l(119,127)    -   m(98)</t>
  </si>
  <si>
    <t>π114</t>
  </si>
  <si>
    <t>115 - (2, 1, 0, 3) -   l(120,128)                -   w(113)</t>
  </si>
  <si>
    <t>π115</t>
  </si>
  <si>
    <t>116 - (2, 1, 1, -3)                              -   w(118)</t>
  </si>
  <si>
    <t>π116</t>
  </si>
  <si>
    <t>117 - (2, 1, 1, -2)                              -   w(120)</t>
  </si>
  <si>
    <t>π117</t>
  </si>
  <si>
    <t>118 - (2, 1, 1, 1) -   l(122,130)    -   m(74)</t>
  </si>
  <si>
    <t>π118</t>
  </si>
  <si>
    <t>119 - (2, 1, 1, 2) -   l(123,131)    -   m(103)</t>
  </si>
  <si>
    <t>π119</t>
  </si>
  <si>
    <t>120 - (2, 1, 1, 3) -   l(124,132)    -   m(111)</t>
  </si>
  <si>
    <t>π120</t>
  </si>
  <si>
    <t>121 - (2, 1, 2, -2)                              -   w(124)</t>
  </si>
  <si>
    <t>π121</t>
  </si>
  <si>
    <t>122 - (2, 1, 2, 1) -   l(133)        -   m(79)</t>
  </si>
  <si>
    <t>π122</t>
  </si>
  <si>
    <t>123 - (2, 1, 2, 2) -   l(134)        -   m(107)</t>
  </si>
  <si>
    <t>π123</t>
  </si>
  <si>
    <t>124 - (2, 1, 2, 3) -   l(135)        -   m(116)</t>
  </si>
  <si>
    <t>π124</t>
  </si>
  <si>
    <t>125 - (2, 2, 0, -3)                              -   w(126)</t>
  </si>
  <si>
    <t>π125</t>
  </si>
  <si>
    <t>126 - (2, 2, 0, 1) -   l(130)        -   m(84)</t>
  </si>
  <si>
    <t>π126</t>
  </si>
  <si>
    <t>127 - (2, 2, 0, 2) -   l(131)        -   m(112)</t>
  </si>
  <si>
    <t>π127</t>
  </si>
  <si>
    <t>128 - (2, 2, 0, 3) -   l(132)                    -   w(126)</t>
  </si>
  <si>
    <t>π128</t>
  </si>
  <si>
    <t>129 - (2, 2, 1, -3)                              -   w(130)</t>
  </si>
  <si>
    <t>π129</t>
  </si>
  <si>
    <t>130 - (2, 2, 1, 1) -   l(133)        -   m(89)</t>
  </si>
  <si>
    <t>π130</t>
  </si>
  <si>
    <t>131 - (2, 2, 1, 2) -   l(134)        -   m(117)</t>
  </si>
  <si>
    <t>π131</t>
  </si>
  <si>
    <t>132 - (2, 2, 1, 3) -   l(135)        -   m(125)</t>
  </si>
  <si>
    <t>π132</t>
  </si>
  <si>
    <t>133 - (2, 2, 2, 1)                   -   m(93)</t>
  </si>
  <si>
    <t>π133</t>
  </si>
  <si>
    <t>134 - (2, 2, 2, 2)                   -   m(121)</t>
  </si>
  <si>
    <t>π134</t>
  </si>
  <si>
    <t>135 - (2, 2, 2, 3)                   -   m(129)</t>
  </si>
  <si>
    <t>π135</t>
  </si>
  <si>
    <t>Token modificado extendido con 3 Pc's_Escenario 1: disminuir μ</t>
  </si>
  <si>
    <t>Token modificado extendido con 3 Pc's_Escenario 2: disminuir λ</t>
  </si>
  <si>
    <t>Token modificado extendido con 3 Pc's_Escenario 2: aumentar λ</t>
  </si>
</sst>
</file>

<file path=xl/styles.xml><?xml version="1.0" encoding="utf-8"?>
<styleSheet xmlns="http://schemas.openxmlformats.org/spreadsheetml/2006/main">
  <numFmts count="6">
    <numFmt numFmtId="164" formatCode="GENERAL"/>
    <numFmt numFmtId="165" formatCode="0.00000000"/>
    <numFmt numFmtId="166" formatCode="0.0000000000"/>
    <numFmt numFmtId="167" formatCode="0%"/>
    <numFmt numFmtId="168" formatCode="0.00%"/>
    <numFmt numFmtId="169" formatCode="@"/>
  </numFmts>
  <fonts count="26">
    <font>
      <sz val="11"/>
      <color rgb="FF000000"/>
      <name val="Calibri"/>
      <family val="2"/>
      <charset val="1"/>
    </font>
    <font>
      <sz val="10"/>
      <name val="Arial"/>
      <family val="0"/>
    </font>
    <font>
      <sz val="10"/>
      <name val="Arial"/>
      <family val="0"/>
    </font>
    <font>
      <sz val="10"/>
      <name val="Arial"/>
      <family val="0"/>
    </font>
    <font>
      <b val="true"/>
      <sz val="20"/>
      <color rgb="FFFFFFFF"/>
      <name val="Candara"/>
      <family val="2"/>
      <charset val="1"/>
    </font>
    <font>
      <b val="true"/>
      <sz val="11"/>
      <color rgb="FF31859C"/>
      <name val="Candara"/>
      <family val="2"/>
      <charset val="1"/>
    </font>
    <font>
      <b val="true"/>
      <sz val="11"/>
      <color rgb="FF000000"/>
      <name val="Candara"/>
      <family val="2"/>
      <charset val="1"/>
    </font>
    <font>
      <sz val="11"/>
      <color rgb="FF000000"/>
      <name val="Candara"/>
      <family val="2"/>
      <charset val="1"/>
    </font>
    <font>
      <sz val="12"/>
      <color rgb="FF000000"/>
      <name val="Candara"/>
      <family val="2"/>
      <charset val="1"/>
    </font>
    <font>
      <sz val="11"/>
      <name val="Candara"/>
      <family val="2"/>
      <charset val="1"/>
    </font>
    <font>
      <b val="true"/>
      <sz val="18"/>
      <color rgb="FFFFFFFF"/>
      <name val="Candara"/>
      <family val="2"/>
      <charset val="1"/>
    </font>
    <font>
      <b val="true"/>
      <sz val="11"/>
      <color rgb="FF000000"/>
      <name val="Calibri"/>
      <family val="2"/>
      <charset val="1"/>
    </font>
    <font>
      <b val="true"/>
      <sz val="11"/>
      <name val="Calibri"/>
      <family val="2"/>
      <charset val="1"/>
    </font>
    <font>
      <b val="true"/>
      <sz val="10"/>
      <color rgb="FF000000"/>
      <name val="Consolas"/>
      <family val="3"/>
      <charset val="1"/>
    </font>
    <font>
      <sz val="10"/>
      <name val="Consolas"/>
      <family val="3"/>
      <charset val="1"/>
    </font>
    <font>
      <sz val="11"/>
      <name val="Calibri"/>
      <family val="2"/>
      <charset val="1"/>
    </font>
    <font>
      <b val="true"/>
      <sz val="10"/>
      <name val="Consolas"/>
      <family val="3"/>
      <charset val="1"/>
    </font>
    <font>
      <sz val="10"/>
      <color rgb="FF000000"/>
      <name val="Consolas"/>
      <family val="3"/>
      <charset val="1"/>
    </font>
    <font>
      <b val="true"/>
      <sz val="14"/>
      <color rgb="FF000000"/>
      <name val="Calibri"/>
      <family val="2"/>
      <charset val="1"/>
    </font>
    <font>
      <sz val="11"/>
      <color rgb="FFC00000"/>
      <name val="Calibri"/>
      <family val="2"/>
      <charset val="1"/>
    </font>
    <font>
      <b val="true"/>
      <sz val="12"/>
      <color rgb="FF000000"/>
      <name val="Calibri"/>
      <family val="2"/>
      <charset val="1"/>
    </font>
    <font>
      <sz val="12"/>
      <color rgb="FF000000"/>
      <name val="Calibri"/>
      <family val="2"/>
      <charset val="1"/>
    </font>
    <font>
      <b val="true"/>
      <sz val="12"/>
      <color rgb="FF000000"/>
      <name val="Candara"/>
      <family val="2"/>
      <charset val="1"/>
    </font>
    <font>
      <sz val="10.5"/>
      <color rgb="FF000000"/>
      <name val="Courier New"/>
      <family val="3"/>
      <charset val="1"/>
    </font>
    <font>
      <sz val="10.5"/>
      <color rgb="FF000000"/>
      <name val="Calibri"/>
      <family val="2"/>
    </font>
    <font>
      <sz val="11"/>
      <color rgb="FF000000"/>
      <name val="Calibri"/>
      <family val="2"/>
    </font>
  </fonts>
  <fills count="16">
    <fill>
      <patternFill patternType="none"/>
    </fill>
    <fill>
      <patternFill patternType="gray125"/>
    </fill>
    <fill>
      <patternFill patternType="solid">
        <fgColor rgb="FF31859C"/>
        <bgColor rgb="FF558ED5"/>
      </patternFill>
    </fill>
    <fill>
      <patternFill patternType="solid">
        <fgColor rgb="FFFFC000"/>
        <bgColor rgb="FFFF9900"/>
      </patternFill>
    </fill>
    <fill>
      <patternFill patternType="solid">
        <fgColor rgb="FF9BBB59"/>
        <bgColor rgb="FF969696"/>
      </patternFill>
    </fill>
    <fill>
      <patternFill patternType="solid">
        <fgColor rgb="FFFFE07D"/>
        <bgColor rgb="FFFCD5B5"/>
      </patternFill>
    </fill>
    <fill>
      <patternFill patternType="solid">
        <fgColor rgb="FFEBF1DE"/>
        <bgColor rgb="FFE6E0EC"/>
      </patternFill>
    </fill>
    <fill>
      <patternFill patternType="solid">
        <fgColor rgb="FFD7E4BD"/>
        <bgColor rgb="FFE6E0EC"/>
      </patternFill>
    </fill>
    <fill>
      <patternFill patternType="solid">
        <fgColor rgb="FFB3A2C7"/>
        <bgColor rgb="FF9999FF"/>
      </patternFill>
    </fill>
    <fill>
      <patternFill patternType="solid">
        <fgColor rgb="FFD99694"/>
        <bgColor rgb="FFB3A2C7"/>
      </patternFill>
    </fill>
    <fill>
      <patternFill patternType="solid">
        <fgColor rgb="FFE6E0EC"/>
        <bgColor rgb="FFF2DCDB"/>
      </patternFill>
    </fill>
    <fill>
      <patternFill patternType="solid">
        <fgColor rgb="FFF2DCDB"/>
        <bgColor rgb="FFE6E0EC"/>
      </patternFill>
    </fill>
    <fill>
      <patternFill patternType="solid">
        <fgColor rgb="FFFAC090"/>
        <bgColor rgb="FFFCD5B5"/>
      </patternFill>
    </fill>
    <fill>
      <patternFill patternType="solid">
        <fgColor rgb="FFFCD5B5"/>
        <bgColor rgb="FFF2DCDB"/>
      </patternFill>
    </fill>
    <fill>
      <patternFill patternType="solid">
        <fgColor rgb="FF558ED5"/>
        <bgColor rgb="FF31859C"/>
      </patternFill>
    </fill>
    <fill>
      <patternFill patternType="solid">
        <fgColor rgb="FFC6D9F1"/>
        <bgColor rgb="FFE6E0EC"/>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double"/>
      <right style="double"/>
      <top style="double"/>
      <bottom style="double"/>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cellStyleXfs>
  <cellXfs count="6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7" fillId="0" borderId="4" xfId="0" applyFont="true" applyBorder="true" applyAlignment="true" applyProtection="false">
      <alignment horizontal="justify" vertical="center"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10" fillId="2"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11" fillId="3" borderId="1" xfId="0" applyFont="true" applyBorder="true" applyAlignment="true" applyProtection="false">
      <alignment horizontal="center" vertical="bottom" textRotation="0" wrapText="true" indent="0" shrinkToFit="false"/>
      <protection locked="true" hidden="false"/>
    </xf>
    <xf numFmtId="164" fontId="11" fillId="4" borderId="1" xfId="0" applyFont="true" applyBorder="true" applyAlignment="true" applyProtection="false">
      <alignment horizontal="center" vertical="center" textRotation="0" wrapText="false" indent="0" shrinkToFit="false"/>
      <protection locked="true" hidden="false"/>
    </xf>
    <xf numFmtId="164" fontId="12" fillId="4" borderId="1" xfId="0" applyFont="true" applyBorder="true" applyAlignment="true" applyProtection="false">
      <alignment horizontal="center" vertical="center" textRotation="0" wrapText="false" indent="0" shrinkToFit="false"/>
      <protection locked="true" hidden="false"/>
    </xf>
    <xf numFmtId="164" fontId="13" fillId="5" borderId="1" xfId="0" applyFont="true" applyBorder="true" applyAlignment="true" applyProtection="false">
      <alignment horizontal="center" vertical="center" textRotation="0" wrapText="true" indent="0" shrinkToFit="false"/>
      <protection locked="true" hidden="false"/>
    </xf>
    <xf numFmtId="164" fontId="14" fillId="0" borderId="1" xfId="0" applyFont="true" applyBorder="true" applyAlignment="true" applyProtection="false">
      <alignment horizontal="center" vertical="center" textRotation="0" wrapText="false" indent="0" shrinkToFit="false"/>
      <protection locked="true" hidden="false"/>
    </xf>
    <xf numFmtId="164" fontId="15" fillId="0" borderId="0" xfId="0" applyFont="true" applyBorder="true" applyAlignment="tru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general" vertical="center" textRotation="0" wrapText="false" indent="0" shrinkToFit="false"/>
      <protection locked="true" hidden="false"/>
    </xf>
    <xf numFmtId="164" fontId="16" fillId="5" borderId="1" xfId="0" applyFont="true" applyBorder="true" applyAlignment="true" applyProtection="false">
      <alignment horizontal="center" vertical="center" textRotation="0" wrapText="true" indent="0" shrinkToFit="false"/>
      <protection locked="true" hidden="false"/>
    </xf>
    <xf numFmtId="164" fontId="14" fillId="6" borderId="5" xfId="0" applyFont="true" applyBorder="true" applyAlignment="true" applyProtection="false">
      <alignment horizontal="left" vertical="center" textRotation="0" wrapText="true" indent="1" shrinkToFit="false"/>
      <protection locked="true" hidden="false"/>
    </xf>
    <xf numFmtId="164" fontId="17" fillId="7" borderId="5" xfId="0" applyFont="true" applyBorder="true" applyAlignment="true" applyProtection="false">
      <alignment horizontal="center" vertical="center" textRotation="0" wrapText="false" indent="0" shrinkToFit="false"/>
      <protection locked="true" hidden="false"/>
    </xf>
    <xf numFmtId="164" fontId="17" fillId="6" borderId="5" xfId="0" applyFont="true" applyBorder="true" applyAlignment="true" applyProtection="false">
      <alignment horizontal="center" vertical="center" textRotation="0" wrapText="false" indent="0" shrinkToFit="false"/>
      <protection locked="true" hidden="false"/>
    </xf>
    <xf numFmtId="164" fontId="18" fillId="0" borderId="0" xfId="0" applyFont="true" applyBorder="true" applyAlignment="true" applyProtection="false">
      <alignment horizontal="general" vertical="center" textRotation="0" wrapText="false" indent="0" shrinkToFit="false"/>
      <protection locked="true" hidden="false"/>
    </xf>
    <xf numFmtId="164" fontId="19" fillId="0" borderId="0" xfId="0" applyFont="true" applyBorder="true" applyAlignment="true" applyProtection="false">
      <alignment horizontal="general" vertical="center" textRotation="0" wrapText="false" indent="0" shrinkToFit="false"/>
      <protection locked="true" hidden="false"/>
    </xf>
    <xf numFmtId="164" fontId="14" fillId="6" borderId="6" xfId="0" applyFont="true" applyBorder="true" applyAlignment="true" applyProtection="false">
      <alignment horizontal="left" vertical="center" textRotation="0" wrapText="true" indent="1" shrinkToFit="false"/>
      <protection locked="true" hidden="false"/>
    </xf>
    <xf numFmtId="164" fontId="17" fillId="7" borderId="6" xfId="0" applyFont="true" applyBorder="true" applyAlignment="true" applyProtection="false">
      <alignment horizontal="center" vertical="center" textRotation="0" wrapText="false" indent="0" shrinkToFit="false"/>
      <protection locked="true" hidden="false"/>
    </xf>
    <xf numFmtId="164" fontId="17" fillId="6" borderId="6" xfId="0" applyFont="true" applyBorder="true" applyAlignment="true" applyProtection="false">
      <alignment horizontal="center" vertical="center" textRotation="0" wrapText="false" indent="0" shrinkToFit="false"/>
      <protection locked="true" hidden="false"/>
    </xf>
    <xf numFmtId="164" fontId="20" fillId="8" borderId="1" xfId="0" applyFont="true" applyBorder="true" applyAlignment="true" applyProtection="false">
      <alignment horizontal="center" vertical="center" textRotation="0" wrapText="false" indent="0" shrinkToFit="false"/>
      <protection locked="true" hidden="false"/>
    </xf>
    <xf numFmtId="164" fontId="20" fillId="0" borderId="0" xfId="0" applyFont="true" applyBorder="false" applyAlignment="true" applyProtection="false">
      <alignment horizontal="general" vertical="center" textRotation="0" wrapText="false" indent="0" shrinkToFit="false"/>
      <protection locked="true" hidden="false"/>
    </xf>
    <xf numFmtId="164" fontId="20" fillId="9" borderId="1" xfId="0" applyFont="true" applyBorder="true" applyAlignment="true" applyProtection="false">
      <alignment horizontal="center" vertical="center" textRotation="0" wrapText="false" indent="0" shrinkToFit="false"/>
      <protection locked="true" hidden="false"/>
    </xf>
    <xf numFmtId="164" fontId="13" fillId="10" borderId="1" xfId="0" applyFont="true" applyBorder="true" applyAlignment="true" applyProtection="false">
      <alignment horizontal="center" vertical="center" textRotation="0" wrapText="false" indent="0" shrinkToFit="false"/>
      <protection locked="true" hidden="false"/>
    </xf>
    <xf numFmtId="165" fontId="17" fillId="0" borderId="1" xfId="0" applyFont="true" applyBorder="true" applyAlignment="true" applyProtection="false">
      <alignment horizontal="center" vertical="center" textRotation="0" wrapText="false" indent="0" shrinkToFit="false"/>
      <protection locked="true" hidden="false"/>
    </xf>
    <xf numFmtId="164" fontId="21" fillId="0" borderId="0" xfId="0" applyFont="true" applyBorder="false" applyAlignment="true" applyProtection="false">
      <alignment horizontal="general" vertical="center" textRotation="0" wrapText="false" indent="0" shrinkToFit="false"/>
      <protection locked="true" hidden="false"/>
    </xf>
    <xf numFmtId="164" fontId="13" fillId="11" borderId="1" xfId="0" applyFont="true" applyBorder="true" applyAlignment="true" applyProtection="false">
      <alignment horizontal="center" vertical="center" textRotation="0" wrapText="false" indent="0" shrinkToFit="false"/>
      <protection locked="true" hidden="false"/>
    </xf>
    <xf numFmtId="164" fontId="17" fillId="0" borderId="1" xfId="0" applyFont="true" applyBorder="true" applyAlignment="true" applyProtection="false">
      <alignment horizontal="center" vertical="center" textRotation="0" wrapText="false" indent="0" shrinkToFit="false"/>
      <protection locked="true" hidden="false"/>
    </xf>
    <xf numFmtId="164" fontId="20" fillId="12" borderId="1" xfId="0" applyFont="true" applyBorder="true" applyAlignment="true" applyProtection="false">
      <alignment horizontal="center" vertical="bottom" textRotation="0" wrapText="true" indent="0" shrinkToFit="false"/>
      <protection locked="true" hidden="false"/>
    </xf>
    <xf numFmtId="164" fontId="13" fillId="13" borderId="1" xfId="0" applyFont="true" applyBorder="true" applyAlignment="true" applyProtection="false">
      <alignment horizontal="center" vertical="center" textRotation="0" wrapText="false" indent="0" shrinkToFit="false"/>
      <protection locked="true" hidden="false"/>
    </xf>
    <xf numFmtId="164" fontId="20" fillId="14" borderId="1" xfId="0" applyFont="true" applyBorder="true" applyAlignment="true" applyProtection="false">
      <alignment horizontal="center" vertical="center" textRotation="0" wrapText="false" indent="0" shrinkToFit="false"/>
      <protection locked="true" hidden="false"/>
    </xf>
    <xf numFmtId="164" fontId="13" fillId="15" borderId="1" xfId="0" applyFont="true" applyBorder="true" applyAlignment="true" applyProtection="false">
      <alignment horizontal="center" vertical="center" textRotation="0" wrapText="false" indent="0" shrinkToFit="false"/>
      <protection locked="true" hidden="false"/>
    </xf>
    <xf numFmtId="164" fontId="22"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right"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23" fillId="0" borderId="0" xfId="0" applyFont="true" applyBorder="false" applyAlignment="true" applyProtection="false">
      <alignment horizontal="general" vertical="center" textRotation="0" wrapText="false" indent="0" shrinkToFit="false"/>
      <protection locked="true" hidden="false"/>
    </xf>
    <xf numFmtId="164" fontId="14" fillId="6" borderId="7" xfId="0" applyFont="true" applyBorder="true" applyAlignment="true" applyProtection="false">
      <alignment horizontal="left" vertical="center" textRotation="0" wrapText="true" indent="1" shrinkToFit="false"/>
      <protection locked="true" hidden="false"/>
    </xf>
    <xf numFmtId="164" fontId="17" fillId="7" borderId="7" xfId="0" applyFont="true" applyBorder="true" applyAlignment="true" applyProtection="false">
      <alignment horizontal="center" vertical="center" textRotation="0" wrapText="false" indent="0" shrinkToFit="false"/>
      <protection locked="true" hidden="false"/>
    </xf>
    <xf numFmtId="164" fontId="17" fillId="6" borderId="7" xfId="0" applyFont="true" applyBorder="true" applyAlignment="true" applyProtection="false">
      <alignment horizontal="center" vertical="center" textRotation="0" wrapText="false" indent="0" shrinkToFit="false"/>
      <protection locked="true" hidden="false"/>
    </xf>
    <xf numFmtId="164" fontId="17" fillId="6" borderId="5" xfId="0" applyFont="true" applyBorder="true" applyAlignment="true" applyProtection="false">
      <alignment horizontal="center" vertical="bottom" textRotation="0" wrapText="false" indent="0" shrinkToFit="false"/>
      <protection locked="true" hidden="false"/>
    </xf>
    <xf numFmtId="164" fontId="17" fillId="6" borderId="6" xfId="0" applyFont="true" applyBorder="true" applyAlignment="true" applyProtection="false">
      <alignment horizontal="center" vertical="bottom" textRotation="0" wrapText="false" indent="0" shrinkToFit="false"/>
      <protection locked="true" hidden="false"/>
    </xf>
    <xf numFmtId="164" fontId="17" fillId="6" borderId="7" xfId="0" applyFont="true" applyBorder="true" applyAlignment="true" applyProtection="false">
      <alignment horizontal="center" vertical="bottom" textRotation="0" wrapText="false" indent="0" shrinkToFit="false"/>
      <protection locked="true" hidden="false"/>
    </xf>
    <xf numFmtId="164" fontId="20" fillId="3" borderId="1" xfId="0" applyFont="true" applyBorder="true" applyAlignment="true" applyProtection="false">
      <alignment horizontal="center" vertical="bottom"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20" fillId="0" borderId="0" xfId="0" applyFont="true" applyBorder="true" applyAlignment="true" applyProtection="false">
      <alignment horizontal="center" vertical="center" textRotation="0" wrapText="false" indent="0" shrinkToFit="false"/>
      <protection locked="true" hidden="false"/>
    </xf>
    <xf numFmtId="164" fontId="13" fillId="0" borderId="0" xfId="0" applyFont="true" applyBorder="true" applyAlignment="true" applyProtection="false">
      <alignment horizontal="center" vertical="center" textRotation="0" wrapText="false" indent="0" shrinkToFit="false"/>
      <protection locked="true" hidden="false"/>
    </xf>
    <xf numFmtId="166" fontId="17" fillId="0" borderId="0" xfId="0" applyFont="true" applyBorder="true" applyAlignment="true" applyProtection="false">
      <alignment horizontal="center" vertical="center" textRotation="0" wrapText="false" indent="0" shrinkToFit="false"/>
      <protection locked="true" hidden="false"/>
    </xf>
    <xf numFmtId="164" fontId="17" fillId="0" borderId="0" xfId="0" applyFont="true" applyBorder="true" applyAlignment="true" applyProtection="false">
      <alignment horizontal="general" vertical="center" textRotation="0" wrapText="false" indent="0" shrinkToFit="false"/>
      <protection locked="true" hidden="false"/>
    </xf>
    <xf numFmtId="168" fontId="17" fillId="0" borderId="0" xfId="19" applyFont="true" applyBorder="true" applyAlignment="true" applyProtection="true">
      <alignment horizontal="general" vertical="center" textRotation="0" wrapText="false" indent="0" shrinkToFit="false"/>
      <protection locked="true" hidden="false"/>
    </xf>
    <xf numFmtId="169" fontId="17" fillId="0" borderId="0" xfId="0" applyFont="true" applyBorder="tru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F2DCDB"/>
      <rgbColor rgb="FF808080"/>
      <rgbColor rgb="FF9999FF"/>
      <rgbColor rgb="FF993366"/>
      <rgbColor rgb="FFEBF1DE"/>
      <rgbColor rgb="FFE6E0EC"/>
      <rgbColor rgb="FF660066"/>
      <rgbColor rgb="FFD99694"/>
      <rgbColor rgb="FF0066CC"/>
      <rgbColor rgb="FFC6D9F1"/>
      <rgbColor rgb="FF000080"/>
      <rgbColor rgb="FFFF00FF"/>
      <rgbColor rgb="FFFFFF00"/>
      <rgbColor rgb="FF00FFFF"/>
      <rgbColor rgb="FF800080"/>
      <rgbColor rgb="FF800000"/>
      <rgbColor rgb="FF008080"/>
      <rgbColor rgb="FF0000FF"/>
      <rgbColor rgb="FF00CCFF"/>
      <rgbColor rgb="FFCCFFFF"/>
      <rgbColor rgb="FFD7E4BD"/>
      <rgbColor rgb="FFFFE07D"/>
      <rgbColor rgb="FF99CCFF"/>
      <rgbColor rgb="FFFCD5B5"/>
      <rgbColor rgb="FFB3A2C7"/>
      <rgbColor rgb="FFFAC090"/>
      <rgbColor rgb="FF3366FF"/>
      <rgbColor rgb="FF33CCCC"/>
      <rgbColor rgb="FF9BBB59"/>
      <rgbColor rgb="FFFFC000"/>
      <rgbColor rgb="FFFF9900"/>
      <rgbColor rgb="FFFF6600"/>
      <rgbColor rgb="FF558ED5"/>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12</xdr:col>
      <xdr:colOff>36360</xdr:colOff>
      <xdr:row>15</xdr:row>
      <xdr:rowOff>360</xdr:rowOff>
    </xdr:from>
    <xdr:to>
      <xdr:col>16</xdr:col>
      <xdr:colOff>26640</xdr:colOff>
      <xdr:row>18</xdr:row>
      <xdr:rowOff>9360</xdr:rowOff>
    </xdr:to>
    <xdr:sp>
      <xdr:nvSpPr>
        <xdr:cNvPr id="0" name="CustomShape 1"/>
        <xdr:cNvSpPr/>
      </xdr:nvSpPr>
      <xdr:spPr>
        <a:xfrm>
          <a:off x="12256920" y="3524400"/>
          <a:ext cx="3057120" cy="80928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chor="ctr"/>
        <a:p>
          <a:pPr algn="ctr">
            <a:lnSpc>
              <a:spcPct val="135000"/>
            </a:lnSpc>
          </a:pPr>
          <a:r>
            <a:rPr lang="en-GB" sz="1050" spc="-1" strike="noStrike">
              <a:solidFill>
                <a:srgbClr val="000000"/>
              </a:solidFill>
              <a:uFill>
                <a:solidFill>
                  <a:srgbClr val="ffffff"/>
                </a:solidFill>
              </a:uFill>
              <a:latin typeface="Calibri"/>
            </a:rPr>
            <a:t>Se calcula el tiempo de espera como el tiempo de residencia (N/X)  de cada paquete menos el tiempo de transmisión (1/μ ).</a:t>
          </a:r>
          <a:endParaRPr lang="en-GB" sz="1200" spc="-1" strike="noStrike">
            <a:solidFill>
              <a:srgbClr val="000000"/>
            </a:solidFill>
            <a:uFill>
              <a:solidFill>
                <a:srgbClr val="ffffff"/>
              </a:solidFill>
            </a:uFill>
            <a:latin typeface="Times New Roman"/>
          </a:endParaRPr>
        </a:p>
      </xdr:txBody>
    </xdr:sp>
    <xdr:clientData/>
  </xdr:twoCellAnchor>
  <xdr:twoCellAnchor editAs="oneCell">
    <xdr:from>
      <xdr:col>6</xdr:col>
      <xdr:colOff>27000</xdr:colOff>
      <xdr:row>16</xdr:row>
      <xdr:rowOff>360</xdr:rowOff>
    </xdr:from>
    <xdr:to>
      <xdr:col>8</xdr:col>
      <xdr:colOff>26640</xdr:colOff>
      <xdr:row>24</xdr:row>
      <xdr:rowOff>171360</xdr:rowOff>
    </xdr:to>
    <xdr:sp>
      <xdr:nvSpPr>
        <xdr:cNvPr id="1" name="CustomShape 1"/>
        <xdr:cNvSpPr/>
      </xdr:nvSpPr>
      <xdr:spPr>
        <a:xfrm>
          <a:off x="7313400" y="3781440"/>
          <a:ext cx="1962000" cy="200952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chor="ctr"/>
        <a:p>
          <a:pPr algn="ctr">
            <a:lnSpc>
              <a:spcPct val="135000"/>
            </a:lnSpc>
          </a:pPr>
          <a:r>
            <a:rPr lang="en-GB" sz="1050" spc="-1" strike="noStrike">
              <a:solidFill>
                <a:srgbClr val="000000"/>
              </a:solidFill>
              <a:uFill>
                <a:solidFill>
                  <a:srgbClr val="ffffff"/>
                </a:solidFill>
              </a:uFill>
              <a:latin typeface="Calibri"/>
            </a:rPr>
            <a:t>Se selecciona arbitariamente la Pc1.  Cuando la primera entrada del estado de la tupla es "&gt;=</a:t>
          </a:r>
          <a:endParaRPr lang="en-GB" sz="1200" spc="-1" strike="noStrike">
            <a:solidFill>
              <a:srgbClr val="000000"/>
            </a:solidFill>
            <a:uFill>
              <a:solidFill>
                <a:srgbClr val="ffffff"/>
              </a:solidFill>
            </a:uFill>
            <a:latin typeface="Times New Roman"/>
          </a:endParaRPr>
        </a:p>
        <a:p>
          <a:pPr algn="ctr">
            <a:lnSpc>
              <a:spcPct val="135000"/>
            </a:lnSpc>
          </a:pPr>
          <a:r>
            <a:rPr lang="en-GB" sz="1050" spc="-1" strike="noStrike">
              <a:solidFill>
                <a:srgbClr val="000000"/>
              </a:solidFill>
              <a:uFill>
                <a:solidFill>
                  <a:srgbClr val="ffffff"/>
                </a:solidFill>
              </a:uFill>
              <a:latin typeface="Calibri"/>
            </a:rPr>
            <a:t>1", habrá un paquete esperando en la Pc1. Por ende, N es la probabilidad total de estar en cualquiera de estos estados.</a:t>
          </a:r>
          <a:endParaRPr lang="en-GB" sz="1200" spc="-1" strike="noStrike">
            <a:solidFill>
              <a:srgbClr val="000000"/>
            </a:solidFill>
            <a:uFill>
              <a:solidFill>
                <a:srgbClr val="ffffff"/>
              </a:solidFill>
            </a:uFill>
            <a:latin typeface="Times New Roman"/>
          </a:endParaRPr>
        </a:p>
      </xdr:txBody>
    </xdr:sp>
    <xdr:clientData/>
  </xdr:twoCellAnchor>
  <xdr:twoCellAnchor editAs="oneCell">
    <xdr:from>
      <xdr:col>12</xdr:col>
      <xdr:colOff>36360</xdr:colOff>
      <xdr:row>7</xdr:row>
      <xdr:rowOff>181440</xdr:rowOff>
    </xdr:from>
    <xdr:to>
      <xdr:col>18</xdr:col>
      <xdr:colOff>26640</xdr:colOff>
      <xdr:row>12</xdr:row>
      <xdr:rowOff>162000</xdr:rowOff>
    </xdr:to>
    <xdr:sp>
      <xdr:nvSpPr>
        <xdr:cNvPr id="2" name="CustomShape 1"/>
        <xdr:cNvSpPr/>
      </xdr:nvSpPr>
      <xdr:spPr>
        <a:xfrm>
          <a:off x="12256920" y="1848240"/>
          <a:ext cx="4543200" cy="104724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chor="ctr"/>
        <a:p>
          <a:pPr algn="ctr">
            <a:lnSpc>
              <a:spcPct val="135000"/>
            </a:lnSpc>
          </a:pPr>
          <a:r>
            <a:rPr lang="en-GB" sz="1050" spc="-1" strike="noStrike">
              <a:solidFill>
                <a:srgbClr val="000000"/>
              </a:solidFill>
              <a:uFill>
                <a:solidFill>
                  <a:srgbClr val="ffffff"/>
                </a:solidFill>
              </a:uFill>
              <a:latin typeface="Calibri"/>
            </a:rPr>
            <a:t>Para que la transmisión de datos ocurra en la Pc1, tiene que existir un paquete de datos esperando para la transmisión y el token en la Pc1. Por lo tanto, el desempeño será la tasa de la transmisión (μ), multiplicada por la probabilidad total de dichos estados.</a:t>
          </a:r>
          <a:endParaRPr lang="en-GB" sz="1200" spc="-1" strike="noStrike">
            <a:solidFill>
              <a:srgbClr val="000000"/>
            </a:solidFill>
            <a:uFill>
              <a:solidFill>
                <a:srgbClr val="ffffff"/>
              </a:solidFill>
            </a:uFill>
            <a:latin typeface="Times New Roman"/>
          </a:endParaRPr>
        </a:p>
      </xdr:txBody>
    </xdr:sp>
    <xdr:clientData/>
  </xdr:twoCellAnchor>
  <xdr:twoCellAnchor editAs="oneCell">
    <xdr:from>
      <xdr:col>10</xdr:col>
      <xdr:colOff>27000</xdr:colOff>
      <xdr:row>20</xdr:row>
      <xdr:rowOff>191160</xdr:rowOff>
    </xdr:from>
    <xdr:to>
      <xdr:col>16</xdr:col>
      <xdr:colOff>45720</xdr:colOff>
      <xdr:row>29</xdr:row>
      <xdr:rowOff>9720</xdr:rowOff>
    </xdr:to>
    <xdr:sp>
      <xdr:nvSpPr>
        <xdr:cNvPr id="3" name="CustomShape 1"/>
        <xdr:cNvSpPr/>
      </xdr:nvSpPr>
      <xdr:spPr>
        <a:xfrm>
          <a:off x="10285200" y="5020200"/>
          <a:ext cx="5047920" cy="156168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chor="ctr"/>
        <a:p>
          <a:pPr algn="ctr">
            <a:lnSpc>
              <a:spcPct val="135000"/>
            </a:lnSpc>
          </a:pPr>
          <a:r>
            <a:rPr lang="en-GB" sz="1050" spc="-1" strike="noStrike">
              <a:solidFill>
                <a:srgbClr val="000000"/>
              </a:solidFill>
              <a:uFill>
                <a:solidFill>
                  <a:srgbClr val="ffffff"/>
                </a:solidFill>
              </a:uFill>
              <a:latin typeface="Calibri"/>
            </a:rPr>
            <a:t>Podemos concluir, que a pesar de ser un sistema relativamente pequeño conectando a 3 computadoras, genera un total de 135 estados, mientras más estados se generan mayor complejidad tendrá el sistema. Si se aumenta el tamaño de la memoria al igual que la cantidad de computadoras, esto provoca que haya un mejor desempeño en el sistema.</a:t>
          </a:r>
          <a:endParaRPr lang="en-GB" sz="1200" spc="-1" strike="noStrike">
            <a:solidFill>
              <a:srgbClr val="000000"/>
            </a:solidFill>
            <a:uFill>
              <a:solidFill>
                <a:srgbClr val="ffffff"/>
              </a:solidFill>
            </a:u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27000</xdr:colOff>
      <xdr:row>20</xdr:row>
      <xdr:rowOff>191160</xdr:rowOff>
    </xdr:from>
    <xdr:to>
      <xdr:col>14</xdr:col>
      <xdr:colOff>388440</xdr:colOff>
      <xdr:row>26</xdr:row>
      <xdr:rowOff>181080</xdr:rowOff>
    </xdr:to>
    <xdr:sp>
      <xdr:nvSpPr>
        <xdr:cNvPr id="4" name="CustomShape 1"/>
        <xdr:cNvSpPr/>
      </xdr:nvSpPr>
      <xdr:spPr>
        <a:xfrm>
          <a:off x="10285200" y="5020200"/>
          <a:ext cx="3904920" cy="116136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chor="ctr"/>
        <a:p>
          <a:pPr algn="ctr">
            <a:lnSpc>
              <a:spcPct val="100000"/>
            </a:lnSpc>
          </a:pPr>
          <a:r>
            <a:rPr lang="en-GB" sz="1100" spc="-1" strike="noStrike">
              <a:solidFill>
                <a:srgbClr val="000000"/>
              </a:solidFill>
              <a:uFill>
                <a:solidFill>
                  <a:srgbClr val="ffffff"/>
                </a:solidFill>
              </a:uFill>
              <a:latin typeface="Calibri"/>
            </a:rPr>
            <a:t>En este escenario, si se disminuye el valor de μ de 0.1 a 0.001, la utilización aumenta, el desempeño varía muy poco  y el tiempo de residencia disminuye gradualmente.</a:t>
          </a:r>
          <a:endParaRPr lang="en-GB" sz="1200" spc="-1" strike="noStrike">
            <a:solidFill>
              <a:srgbClr val="000000"/>
            </a:solidFill>
            <a:uFill>
              <a:solidFill>
                <a:srgbClr val="ffffff"/>
              </a:solidFill>
            </a:uFill>
            <a:latin typeface="Times New Roman"/>
          </a:endParaRPr>
        </a:p>
      </xdr:txBody>
    </xdr:sp>
    <xdr:clientData/>
  </xdr:twoCellAnchor>
  <xdr:twoCellAnchor editAs="oneCell">
    <xdr:from>
      <xdr:col>12</xdr:col>
      <xdr:colOff>46080</xdr:colOff>
      <xdr:row>8</xdr:row>
      <xdr:rowOff>360</xdr:rowOff>
    </xdr:from>
    <xdr:to>
      <xdr:col>18</xdr:col>
      <xdr:colOff>36360</xdr:colOff>
      <xdr:row>12</xdr:row>
      <xdr:rowOff>171360</xdr:rowOff>
    </xdr:to>
    <xdr:sp>
      <xdr:nvSpPr>
        <xdr:cNvPr id="5" name="CustomShape 1"/>
        <xdr:cNvSpPr/>
      </xdr:nvSpPr>
      <xdr:spPr>
        <a:xfrm>
          <a:off x="12266640" y="1857600"/>
          <a:ext cx="4543200" cy="104724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chor="ctr"/>
        <a:p>
          <a:pPr algn="ctr">
            <a:lnSpc>
              <a:spcPct val="135000"/>
            </a:lnSpc>
          </a:pPr>
          <a:r>
            <a:rPr lang="en-GB" sz="1050" spc="-1" strike="noStrike">
              <a:solidFill>
                <a:srgbClr val="000000"/>
              </a:solidFill>
              <a:uFill>
                <a:solidFill>
                  <a:srgbClr val="ffffff"/>
                </a:solidFill>
              </a:uFill>
              <a:latin typeface="Calibri"/>
            </a:rPr>
            <a:t>Para que la transmisión de datos ocurra en la Pc1, tiene que existir un paquete de datos esperando para la transmisión y el token en la Pc1. Por lo tanto, el desempeño será la tasa de la transmisión (μ), multiplicada por la probabilidad total de dichos estados.</a:t>
          </a:r>
          <a:endParaRPr lang="en-GB" sz="1200" spc="-1" strike="noStrike">
            <a:solidFill>
              <a:srgbClr val="000000"/>
            </a:solidFill>
            <a:uFill>
              <a:solidFill>
                <a:srgbClr val="ffffff"/>
              </a:solidFill>
            </a:uFill>
            <a:latin typeface="Times New Roman"/>
          </a:endParaRPr>
        </a:p>
      </xdr:txBody>
    </xdr:sp>
    <xdr:clientData/>
  </xdr:twoCellAnchor>
  <xdr:twoCellAnchor editAs="oneCell">
    <xdr:from>
      <xdr:col>12</xdr:col>
      <xdr:colOff>36360</xdr:colOff>
      <xdr:row>14</xdr:row>
      <xdr:rowOff>400680</xdr:rowOff>
    </xdr:from>
    <xdr:to>
      <xdr:col>16</xdr:col>
      <xdr:colOff>45360</xdr:colOff>
      <xdr:row>17</xdr:row>
      <xdr:rowOff>304920</xdr:rowOff>
    </xdr:to>
    <xdr:sp>
      <xdr:nvSpPr>
        <xdr:cNvPr id="6" name="CustomShape 1"/>
        <xdr:cNvSpPr/>
      </xdr:nvSpPr>
      <xdr:spPr>
        <a:xfrm>
          <a:off x="12256920" y="3515040"/>
          <a:ext cx="3075840" cy="80928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chor="ctr"/>
        <a:p>
          <a:pPr algn="ctr">
            <a:lnSpc>
              <a:spcPct val="135000"/>
            </a:lnSpc>
          </a:pPr>
          <a:r>
            <a:rPr lang="en-GB" sz="1050" spc="-1" strike="noStrike">
              <a:solidFill>
                <a:srgbClr val="000000"/>
              </a:solidFill>
              <a:uFill>
                <a:solidFill>
                  <a:srgbClr val="ffffff"/>
                </a:solidFill>
              </a:uFill>
              <a:latin typeface="Calibri"/>
            </a:rPr>
            <a:t>Se calcula el tiempo de espera como el tiempo de residencia (N/X)  de cada paquete menos el tiempo de transmisión (1/μ ).</a:t>
          </a:r>
          <a:endParaRPr lang="en-GB" sz="1200" spc="-1" strike="noStrike">
            <a:solidFill>
              <a:srgbClr val="000000"/>
            </a:solidFill>
            <a:uFill>
              <a:solidFill>
                <a:srgbClr val="ffffff"/>
              </a:solidFill>
            </a:uFill>
            <a:latin typeface="Times New Roman"/>
          </a:endParaRPr>
        </a:p>
      </xdr:txBody>
    </xdr:sp>
    <xdr:clientData/>
  </xdr:twoCellAnchor>
  <xdr:twoCellAnchor editAs="oneCell">
    <xdr:from>
      <xdr:col>6</xdr:col>
      <xdr:colOff>36360</xdr:colOff>
      <xdr:row>16</xdr:row>
      <xdr:rowOff>10080</xdr:rowOff>
    </xdr:from>
    <xdr:to>
      <xdr:col>8</xdr:col>
      <xdr:colOff>36000</xdr:colOff>
      <xdr:row>24</xdr:row>
      <xdr:rowOff>181080</xdr:rowOff>
    </xdr:to>
    <xdr:sp>
      <xdr:nvSpPr>
        <xdr:cNvPr id="7" name="CustomShape 1"/>
        <xdr:cNvSpPr/>
      </xdr:nvSpPr>
      <xdr:spPr>
        <a:xfrm>
          <a:off x="7322760" y="3791160"/>
          <a:ext cx="1962000" cy="200952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chor="ctr"/>
        <a:p>
          <a:pPr algn="ctr">
            <a:lnSpc>
              <a:spcPct val="135000"/>
            </a:lnSpc>
          </a:pPr>
          <a:r>
            <a:rPr lang="en-GB" sz="1050" spc="-1" strike="noStrike">
              <a:solidFill>
                <a:srgbClr val="000000"/>
              </a:solidFill>
              <a:uFill>
                <a:solidFill>
                  <a:srgbClr val="ffffff"/>
                </a:solidFill>
              </a:uFill>
              <a:latin typeface="Calibri"/>
            </a:rPr>
            <a:t>Se selecciona arbitariamente la Pc1.  Cuando la primera entrada del estado de la tupla es "1", habrá un paquete esperando en la Pc1. Por ende, N es la probabilidad total de estar en cualquiera de estos estados.</a:t>
          </a:r>
          <a:endParaRPr lang="en-GB" sz="1200" spc="-1" strike="noStrike">
            <a:solidFill>
              <a:srgbClr val="000000"/>
            </a:solidFill>
            <a:uFill>
              <a:solidFill>
                <a:srgbClr val="ffffff"/>
              </a:solidFill>
            </a:uFill>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27000</xdr:colOff>
      <xdr:row>20</xdr:row>
      <xdr:rowOff>191160</xdr:rowOff>
    </xdr:from>
    <xdr:to>
      <xdr:col>14</xdr:col>
      <xdr:colOff>388440</xdr:colOff>
      <xdr:row>26</xdr:row>
      <xdr:rowOff>181080</xdr:rowOff>
    </xdr:to>
    <xdr:sp>
      <xdr:nvSpPr>
        <xdr:cNvPr id="8" name="CustomShape 1"/>
        <xdr:cNvSpPr/>
      </xdr:nvSpPr>
      <xdr:spPr>
        <a:xfrm>
          <a:off x="10275840" y="5020200"/>
          <a:ext cx="3904560" cy="116136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chor="ctr"/>
        <a:p>
          <a:pPr algn="ctr">
            <a:lnSpc>
              <a:spcPct val="100000"/>
            </a:lnSpc>
          </a:pPr>
          <a:r>
            <a:rPr lang="en-GB" sz="1100" spc="-1" strike="noStrike">
              <a:solidFill>
                <a:srgbClr val="000000"/>
              </a:solidFill>
              <a:uFill>
                <a:solidFill>
                  <a:srgbClr val="ffffff"/>
                </a:solidFill>
              </a:uFill>
              <a:latin typeface="Calibri"/>
            </a:rPr>
            <a:t>Si se disminuye  la tasa de arribo de paquetes de datos λ de 0.001 a 0.0001, la utilización incrementa gradualmente y el desempeño disminuye.</a:t>
          </a:r>
          <a:endParaRPr lang="en-GB" sz="1200" spc="-1" strike="noStrike">
            <a:solidFill>
              <a:srgbClr val="000000"/>
            </a:solidFill>
            <a:uFill>
              <a:solidFill>
                <a:srgbClr val="ffffff"/>
              </a:solidFill>
            </a:uFill>
            <a:latin typeface="Times New Roman"/>
          </a:endParaRPr>
        </a:p>
        <a:p>
          <a:pPr algn="ctr">
            <a:lnSpc>
              <a:spcPct val="100000"/>
            </a:lnSpc>
          </a:pPr>
          <a:endParaRPr lang="en-GB" sz="1200" spc="-1" strike="noStrike">
            <a:solidFill>
              <a:srgbClr val="000000"/>
            </a:solidFill>
            <a:uFill>
              <a:solidFill>
                <a:srgbClr val="ffffff"/>
              </a:solidFill>
            </a:uFill>
            <a:latin typeface="Times New Roman"/>
          </a:endParaRPr>
        </a:p>
      </xdr:txBody>
    </xdr:sp>
    <xdr:clientData/>
  </xdr:twoCellAnchor>
  <xdr:twoCellAnchor editAs="oneCell">
    <xdr:from>
      <xdr:col>12</xdr:col>
      <xdr:colOff>46080</xdr:colOff>
      <xdr:row>8</xdr:row>
      <xdr:rowOff>360</xdr:rowOff>
    </xdr:from>
    <xdr:to>
      <xdr:col>18</xdr:col>
      <xdr:colOff>36360</xdr:colOff>
      <xdr:row>12</xdr:row>
      <xdr:rowOff>171360</xdr:rowOff>
    </xdr:to>
    <xdr:sp>
      <xdr:nvSpPr>
        <xdr:cNvPr id="9" name="CustomShape 1"/>
        <xdr:cNvSpPr/>
      </xdr:nvSpPr>
      <xdr:spPr>
        <a:xfrm>
          <a:off x="12256920" y="1857600"/>
          <a:ext cx="4543200" cy="104724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chor="ctr"/>
        <a:p>
          <a:pPr algn="ctr">
            <a:lnSpc>
              <a:spcPct val="135000"/>
            </a:lnSpc>
          </a:pPr>
          <a:r>
            <a:rPr lang="en-GB" sz="1050" spc="-1" strike="noStrike">
              <a:solidFill>
                <a:srgbClr val="000000"/>
              </a:solidFill>
              <a:uFill>
                <a:solidFill>
                  <a:srgbClr val="ffffff"/>
                </a:solidFill>
              </a:uFill>
              <a:latin typeface="Calibri"/>
            </a:rPr>
            <a:t>Para que la transmisión de datos ocurra en la Pc1, tiene que existir un paquete de datos esperando para la transmisión y el token en la Pc1. Por lo tanto, el desempeño será la tasa de la transmisión (μ), multiplicada por la probabilidad total de dichos estados.</a:t>
          </a:r>
          <a:endParaRPr lang="en-GB" sz="1200" spc="-1" strike="noStrike">
            <a:solidFill>
              <a:srgbClr val="000000"/>
            </a:solidFill>
            <a:uFill>
              <a:solidFill>
                <a:srgbClr val="ffffff"/>
              </a:solidFill>
            </a:uFill>
            <a:latin typeface="Times New Roman"/>
          </a:endParaRPr>
        </a:p>
      </xdr:txBody>
    </xdr:sp>
    <xdr:clientData/>
  </xdr:twoCellAnchor>
  <xdr:twoCellAnchor editAs="oneCell">
    <xdr:from>
      <xdr:col>12</xdr:col>
      <xdr:colOff>36360</xdr:colOff>
      <xdr:row>15</xdr:row>
      <xdr:rowOff>360</xdr:rowOff>
    </xdr:from>
    <xdr:to>
      <xdr:col>16</xdr:col>
      <xdr:colOff>45360</xdr:colOff>
      <xdr:row>18</xdr:row>
      <xdr:rowOff>9360</xdr:rowOff>
    </xdr:to>
    <xdr:sp>
      <xdr:nvSpPr>
        <xdr:cNvPr id="10" name="CustomShape 1"/>
        <xdr:cNvSpPr/>
      </xdr:nvSpPr>
      <xdr:spPr>
        <a:xfrm>
          <a:off x="12247200" y="3524400"/>
          <a:ext cx="3076200" cy="80928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chor="ctr"/>
        <a:p>
          <a:pPr algn="ctr">
            <a:lnSpc>
              <a:spcPct val="135000"/>
            </a:lnSpc>
          </a:pPr>
          <a:r>
            <a:rPr lang="en-GB" sz="1050" spc="-1" strike="noStrike">
              <a:solidFill>
                <a:srgbClr val="000000"/>
              </a:solidFill>
              <a:uFill>
                <a:solidFill>
                  <a:srgbClr val="ffffff"/>
                </a:solidFill>
              </a:uFill>
              <a:latin typeface="Calibri"/>
            </a:rPr>
            <a:t>Se calcula el tiempo de espera como el tiempo de residencia (N/X)  de cada paquete menos el tiempo de transmisión (1/μ ).</a:t>
          </a:r>
          <a:endParaRPr lang="en-GB" sz="1200" spc="-1" strike="noStrike">
            <a:solidFill>
              <a:srgbClr val="000000"/>
            </a:solidFill>
            <a:uFill>
              <a:solidFill>
                <a:srgbClr val="ffffff"/>
              </a:solidFill>
            </a:uFill>
            <a:latin typeface="Times New Roman"/>
          </a:endParaRPr>
        </a:p>
      </xdr:txBody>
    </xdr:sp>
    <xdr:clientData/>
  </xdr:twoCellAnchor>
  <xdr:twoCellAnchor editAs="oneCell">
    <xdr:from>
      <xdr:col>6</xdr:col>
      <xdr:colOff>27000</xdr:colOff>
      <xdr:row>16</xdr:row>
      <xdr:rowOff>360</xdr:rowOff>
    </xdr:from>
    <xdr:to>
      <xdr:col>8</xdr:col>
      <xdr:colOff>26640</xdr:colOff>
      <xdr:row>24</xdr:row>
      <xdr:rowOff>171360</xdr:rowOff>
    </xdr:to>
    <xdr:sp>
      <xdr:nvSpPr>
        <xdr:cNvPr id="11" name="CustomShape 1"/>
        <xdr:cNvSpPr/>
      </xdr:nvSpPr>
      <xdr:spPr>
        <a:xfrm>
          <a:off x="7313400" y="3781440"/>
          <a:ext cx="1952280" cy="200952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chor="ctr"/>
        <a:p>
          <a:pPr algn="ctr">
            <a:lnSpc>
              <a:spcPct val="135000"/>
            </a:lnSpc>
          </a:pPr>
          <a:r>
            <a:rPr lang="en-GB" sz="1050" spc="-1" strike="noStrike">
              <a:solidFill>
                <a:srgbClr val="000000"/>
              </a:solidFill>
              <a:uFill>
                <a:solidFill>
                  <a:srgbClr val="ffffff"/>
                </a:solidFill>
              </a:uFill>
              <a:latin typeface="Calibri"/>
            </a:rPr>
            <a:t>Se selecciona arbitariamente la Pc1.  Cuando la primera entrada del estado de la tupla es "1", habrá un paquete esperando en la Pc1. Por ende, N es la probabilidad total de estar en cualquiera de estos estados.</a:t>
          </a:r>
          <a:endParaRPr lang="en-GB" sz="1200" spc="-1" strike="noStrike">
            <a:solidFill>
              <a:srgbClr val="000000"/>
            </a:solidFill>
            <a:uFill>
              <a:solidFill>
                <a:srgbClr val="ffffff"/>
              </a:solidFill>
            </a:uFill>
            <a:latin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27000</xdr:colOff>
      <xdr:row>20</xdr:row>
      <xdr:rowOff>191160</xdr:rowOff>
    </xdr:from>
    <xdr:to>
      <xdr:col>14</xdr:col>
      <xdr:colOff>388440</xdr:colOff>
      <xdr:row>26</xdr:row>
      <xdr:rowOff>181080</xdr:rowOff>
    </xdr:to>
    <xdr:sp>
      <xdr:nvSpPr>
        <xdr:cNvPr id="12" name="CustomShape 1"/>
        <xdr:cNvSpPr/>
      </xdr:nvSpPr>
      <xdr:spPr>
        <a:xfrm>
          <a:off x="10285200" y="5020200"/>
          <a:ext cx="3904920" cy="116136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chor="ctr"/>
        <a:p>
          <a:pPr algn="ctr">
            <a:lnSpc>
              <a:spcPct val="100000"/>
            </a:lnSpc>
          </a:pPr>
          <a:r>
            <a:rPr lang="en-GB" sz="1050" spc="-1" strike="noStrike">
              <a:solidFill>
                <a:srgbClr val="000000"/>
              </a:solidFill>
              <a:uFill>
                <a:solidFill>
                  <a:srgbClr val="ffffff"/>
                </a:solidFill>
              </a:uFill>
              <a:latin typeface="Calibri"/>
            </a:rPr>
            <a:t>Si aumentamos la tasa de arribo de paquetes de datos λ de 0.001 a 0.03, la utilización aumenta, el desempeño y tiempo de residencia aumentan también con respecto al modelo original.</a:t>
          </a:r>
          <a:endParaRPr lang="en-GB" sz="1200" spc="-1" strike="noStrike">
            <a:solidFill>
              <a:srgbClr val="000000"/>
            </a:solidFill>
            <a:uFill>
              <a:solidFill>
                <a:srgbClr val="ffffff"/>
              </a:solidFill>
            </a:uFill>
            <a:latin typeface="Times New Roman"/>
          </a:endParaRPr>
        </a:p>
      </xdr:txBody>
    </xdr:sp>
    <xdr:clientData/>
  </xdr:twoCellAnchor>
  <xdr:twoCellAnchor editAs="oneCell">
    <xdr:from>
      <xdr:col>12</xdr:col>
      <xdr:colOff>36360</xdr:colOff>
      <xdr:row>7</xdr:row>
      <xdr:rowOff>181440</xdr:rowOff>
    </xdr:from>
    <xdr:to>
      <xdr:col>18</xdr:col>
      <xdr:colOff>45360</xdr:colOff>
      <xdr:row>12</xdr:row>
      <xdr:rowOff>162000</xdr:rowOff>
    </xdr:to>
    <xdr:sp>
      <xdr:nvSpPr>
        <xdr:cNvPr id="13" name="CustomShape 1"/>
        <xdr:cNvSpPr/>
      </xdr:nvSpPr>
      <xdr:spPr>
        <a:xfrm>
          <a:off x="12256920" y="1848240"/>
          <a:ext cx="4561920" cy="104724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chor="ctr"/>
        <a:p>
          <a:pPr algn="ctr">
            <a:lnSpc>
              <a:spcPct val="135000"/>
            </a:lnSpc>
          </a:pPr>
          <a:r>
            <a:rPr lang="en-GB" sz="1050" spc="-1" strike="noStrike">
              <a:solidFill>
                <a:srgbClr val="000000"/>
              </a:solidFill>
              <a:uFill>
                <a:solidFill>
                  <a:srgbClr val="ffffff"/>
                </a:solidFill>
              </a:uFill>
              <a:latin typeface="Calibri"/>
            </a:rPr>
            <a:t>Para que la transmisión de datos ocurra en la Pc1, tiene que existir un paquete de datos esperando para la transmisión y el token en la Pc1. Por lo tanto, el desempeño será la tasa de la transmisión (μ), multiplicada por la probabilidad total de dichos estados.</a:t>
          </a:r>
          <a:endParaRPr lang="en-GB" sz="1200" spc="-1" strike="noStrike">
            <a:solidFill>
              <a:srgbClr val="000000"/>
            </a:solidFill>
            <a:uFill>
              <a:solidFill>
                <a:srgbClr val="ffffff"/>
              </a:solidFill>
            </a:uFill>
            <a:latin typeface="Times New Roman"/>
          </a:endParaRPr>
        </a:p>
      </xdr:txBody>
    </xdr:sp>
    <xdr:clientData/>
  </xdr:twoCellAnchor>
  <xdr:twoCellAnchor editAs="oneCell">
    <xdr:from>
      <xdr:col>12</xdr:col>
      <xdr:colOff>55440</xdr:colOff>
      <xdr:row>15</xdr:row>
      <xdr:rowOff>10080</xdr:rowOff>
    </xdr:from>
    <xdr:to>
      <xdr:col>16</xdr:col>
      <xdr:colOff>45720</xdr:colOff>
      <xdr:row>18</xdr:row>
      <xdr:rowOff>19080</xdr:rowOff>
    </xdr:to>
    <xdr:sp>
      <xdr:nvSpPr>
        <xdr:cNvPr id="14" name="CustomShape 1"/>
        <xdr:cNvSpPr/>
      </xdr:nvSpPr>
      <xdr:spPr>
        <a:xfrm>
          <a:off x="12276000" y="3534120"/>
          <a:ext cx="3057120" cy="80928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chor="ctr"/>
        <a:p>
          <a:pPr algn="ctr">
            <a:lnSpc>
              <a:spcPct val="135000"/>
            </a:lnSpc>
          </a:pPr>
          <a:r>
            <a:rPr lang="en-GB" sz="1050" spc="-1" strike="noStrike">
              <a:solidFill>
                <a:srgbClr val="000000"/>
              </a:solidFill>
              <a:uFill>
                <a:solidFill>
                  <a:srgbClr val="ffffff"/>
                </a:solidFill>
              </a:uFill>
              <a:latin typeface="Calibri"/>
            </a:rPr>
            <a:t>Se calcula el tiempo de espera como el tiempo de residencia (N/X)  de cada paquete menos el tiempo de transmisión (1/μ ).</a:t>
          </a:r>
          <a:endParaRPr lang="en-GB" sz="1200" spc="-1" strike="noStrike">
            <a:solidFill>
              <a:srgbClr val="000000"/>
            </a:solidFill>
            <a:uFill>
              <a:solidFill>
                <a:srgbClr val="ffffff"/>
              </a:solidFill>
            </a:uFill>
            <a:latin typeface="Times New Roman"/>
          </a:endParaRPr>
        </a:p>
      </xdr:txBody>
    </xdr:sp>
    <xdr:clientData/>
  </xdr:twoCellAnchor>
  <xdr:twoCellAnchor editAs="oneCell">
    <xdr:from>
      <xdr:col>6</xdr:col>
      <xdr:colOff>36360</xdr:colOff>
      <xdr:row>16</xdr:row>
      <xdr:rowOff>360</xdr:rowOff>
    </xdr:from>
    <xdr:to>
      <xdr:col>8</xdr:col>
      <xdr:colOff>36000</xdr:colOff>
      <xdr:row>24</xdr:row>
      <xdr:rowOff>171360</xdr:rowOff>
    </xdr:to>
    <xdr:sp>
      <xdr:nvSpPr>
        <xdr:cNvPr id="15" name="CustomShape 1"/>
        <xdr:cNvSpPr/>
      </xdr:nvSpPr>
      <xdr:spPr>
        <a:xfrm>
          <a:off x="7322760" y="3781440"/>
          <a:ext cx="1962000" cy="200952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chor="ctr"/>
        <a:p>
          <a:pPr algn="ctr">
            <a:lnSpc>
              <a:spcPct val="135000"/>
            </a:lnSpc>
          </a:pPr>
          <a:r>
            <a:rPr lang="en-GB" sz="1050" spc="-1" strike="noStrike">
              <a:solidFill>
                <a:srgbClr val="000000"/>
              </a:solidFill>
              <a:uFill>
                <a:solidFill>
                  <a:srgbClr val="ffffff"/>
                </a:solidFill>
              </a:uFill>
              <a:latin typeface="Calibri"/>
            </a:rPr>
            <a:t>Se selecciona arbitariamente la Pc1.  Cuando la primera entrada del estado de la tupla es "1", habrá un paquete esperando en la Pc1. Por ende, N es la probabilidad total de estar en cualquiera de estos estados.</a:t>
          </a:r>
          <a:endParaRPr lang="en-GB" sz="1200" spc="-1" strike="noStrike">
            <a:solidFill>
              <a:srgbClr val="000000"/>
            </a:solidFill>
            <a:uFill>
              <a:solidFill>
                <a:srgbClr val="ffffff"/>
              </a:solidFill>
            </a:uFill>
            <a:latin typeface="Times New Roman"/>
          </a:endParaRPr>
        </a:p>
      </xdr:txBody>
    </xdr:sp>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1" width="12.9591836734694"/>
    <col collapsed="false" hidden="false" max="2" min="2" style="1" width="34.0204081632653"/>
    <col collapsed="false" hidden="false" max="3" min="3" style="1" width="11.2040816326531"/>
    <col collapsed="false" hidden="false" max="4" min="4" style="1" width="4.86224489795918"/>
    <col collapsed="false" hidden="false" max="5" min="5" style="1" width="9.71938775510204"/>
    <col collapsed="false" hidden="false" max="6" min="6" style="1" width="36.5816326530612"/>
    <col collapsed="false" hidden="false" max="9" min="7" style="1" width="11.2040816326531"/>
    <col collapsed="false" hidden="false" max="1025" min="10" style="0" width="10.530612244898"/>
  </cols>
  <sheetData>
    <row r="1" customFormat="false" ht="15" hidden="false" customHeight="false" outlineLevel="0" collapsed="false">
      <c r="A1" s="2" t="s">
        <v>0</v>
      </c>
      <c r="B1" s="2"/>
      <c r="C1" s="2"/>
      <c r="D1" s="2"/>
      <c r="E1" s="2"/>
      <c r="F1" s="2"/>
      <c r="G1" s="0"/>
      <c r="H1" s="0"/>
    </row>
    <row r="2" customFormat="false" ht="15" hidden="false" customHeight="false" outlineLevel="0" collapsed="false">
      <c r="A2" s="2"/>
      <c r="B2" s="2"/>
      <c r="C2" s="2"/>
      <c r="D2" s="2"/>
      <c r="E2" s="2"/>
      <c r="F2" s="2"/>
      <c r="G2" s="0"/>
      <c r="H2" s="0"/>
    </row>
    <row r="3" customFormat="false" ht="19.5" hidden="false" customHeight="true" outlineLevel="0" collapsed="false">
      <c r="A3" s="0"/>
      <c r="B3" s="0"/>
      <c r="C3" s="0"/>
      <c r="D3" s="0"/>
      <c r="E3" s="0"/>
      <c r="F3" s="0"/>
      <c r="G3" s="0"/>
      <c r="H3" s="0"/>
    </row>
    <row r="4" customFormat="false" ht="15" hidden="false" customHeight="false" outlineLevel="0" collapsed="false">
      <c r="A4" s="3" t="s">
        <v>1</v>
      </c>
      <c r="B4" s="4" t="s">
        <v>2</v>
      </c>
      <c r="C4" s="5" t="s">
        <v>3</v>
      </c>
      <c r="D4" s="0"/>
      <c r="E4" s="6" t="s">
        <v>4</v>
      </c>
      <c r="F4" s="7" t="s">
        <v>5</v>
      </c>
      <c r="G4" s="0"/>
      <c r="H4" s="0"/>
    </row>
    <row r="5" customFormat="false" ht="15" hidden="false" customHeight="false" outlineLevel="0" collapsed="false">
      <c r="A5" s="3"/>
      <c r="B5" s="4" t="s">
        <v>6</v>
      </c>
      <c r="C5" s="5" t="s">
        <v>7</v>
      </c>
      <c r="D5" s="0"/>
      <c r="E5" s="6" t="s">
        <v>8</v>
      </c>
      <c r="F5" s="7" t="s">
        <v>9</v>
      </c>
      <c r="G5" s="0"/>
      <c r="H5" s="0"/>
    </row>
    <row r="6" customFormat="false" ht="15" hidden="false" customHeight="false" outlineLevel="0" collapsed="false">
      <c r="A6" s="0"/>
      <c r="B6" s="0"/>
      <c r="C6" s="0"/>
      <c r="D6" s="0"/>
      <c r="E6" s="0"/>
      <c r="F6" s="0"/>
      <c r="G6" s="0"/>
      <c r="H6" s="0"/>
    </row>
    <row r="7" customFormat="false" ht="16.5" hidden="false" customHeight="false" outlineLevel="0" collapsed="false">
      <c r="A7" s="8"/>
      <c r="B7" s="9"/>
      <c r="C7" s="9"/>
      <c r="D7" s="9"/>
      <c r="E7" s="9"/>
      <c r="F7" s="9"/>
      <c r="G7" s="0"/>
      <c r="H7" s="0"/>
    </row>
    <row r="8" customFormat="false" ht="15.75" hidden="false" customHeight="false" outlineLevel="0" collapsed="false">
      <c r="A8" s="10" t="s">
        <v>10</v>
      </c>
      <c r="B8" s="11" t="s">
        <v>11</v>
      </c>
      <c r="C8" s="11"/>
      <c r="D8" s="11"/>
      <c r="E8" s="11"/>
      <c r="F8" s="11"/>
      <c r="G8" s="0"/>
      <c r="H8" s="0"/>
    </row>
    <row r="9" customFormat="false" ht="15" hidden="false" customHeight="true" outlineLevel="0" collapsed="false">
      <c r="A9" s="12"/>
      <c r="B9" s="11"/>
      <c r="C9" s="11"/>
      <c r="D9" s="11"/>
      <c r="E9" s="11"/>
      <c r="F9" s="11"/>
      <c r="G9" s="13"/>
      <c r="H9" s="13"/>
    </row>
    <row r="10" customFormat="false" ht="15.75" hidden="false" customHeight="false" outlineLevel="0" collapsed="false">
      <c r="A10" s="12"/>
      <c r="B10" s="14"/>
      <c r="C10" s="14"/>
      <c r="D10" s="14"/>
      <c r="E10" s="14"/>
      <c r="F10" s="14"/>
      <c r="G10" s="13"/>
      <c r="H10" s="13"/>
    </row>
    <row r="11" customFormat="false" ht="15.75" hidden="false" customHeight="false" outlineLevel="0" collapsed="false">
      <c r="A11" s="12"/>
      <c r="B11" s="14"/>
      <c r="C11" s="14"/>
      <c r="D11" s="14"/>
      <c r="E11" s="14"/>
      <c r="F11" s="14"/>
      <c r="G11" s="13"/>
      <c r="H11" s="13"/>
    </row>
    <row r="12" customFormat="false" ht="15.75" hidden="false" customHeight="false" outlineLevel="0" collapsed="false">
      <c r="A12" s="10" t="s">
        <v>12</v>
      </c>
      <c r="B12" s="11" t="s">
        <v>13</v>
      </c>
      <c r="C12" s="11"/>
      <c r="D12" s="11"/>
      <c r="E12" s="11"/>
      <c r="F12" s="11"/>
      <c r="G12" s="13"/>
      <c r="H12" s="13"/>
    </row>
    <row r="13" customFormat="false" ht="15.75" hidden="false" customHeight="false" outlineLevel="0" collapsed="false">
      <c r="A13" s="8"/>
      <c r="B13" s="11"/>
      <c r="C13" s="11"/>
      <c r="D13" s="11"/>
      <c r="E13" s="11"/>
      <c r="F13" s="11"/>
      <c r="G13" s="13"/>
      <c r="H13" s="13"/>
    </row>
  </sheetData>
  <mergeCells count="4">
    <mergeCell ref="A1:F2"/>
    <mergeCell ref="A4:A5"/>
    <mergeCell ref="B8:F9"/>
    <mergeCell ref="B12:F1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R140"/>
  <sheetViews>
    <sheetView windowProtection="false" showFormulas="false" showGridLines="true" showRowColHeaders="true" showZeros="true" rightToLeft="false" tabSelected="true" showOutlineSymbols="true" defaultGridColor="true" view="normal" topLeftCell="C4" colorId="64" zoomScale="100" zoomScaleNormal="100" zoomScalePageLayoutView="100" workbookViewId="0">
      <selection pane="topLeft" activeCell="I13" activeCellId="0" sqref="I13"/>
    </sheetView>
  </sheetViews>
  <sheetFormatPr defaultRowHeight="15"/>
  <cols>
    <col collapsed="false" hidden="false" max="1" min="1" style="0" width="2.83673469387755"/>
    <col collapsed="false" hidden="false" max="2" min="2" style="0" width="62.9081632653061"/>
    <col collapsed="false" hidden="false" max="3" min="3" style="15" width="5.39795918367347"/>
    <col collapsed="false" hidden="false" max="4" min="4" style="16" width="4.99489795918367"/>
    <col collapsed="false" hidden="false" max="5" min="5" style="16" width="17.4132653061224"/>
    <col collapsed="false" hidden="false" max="6" min="6" style="15" width="9.71938775510204"/>
    <col collapsed="false" hidden="false" max="8" min="7" style="15" width="13.9030612244898"/>
    <col collapsed="false" hidden="false" max="9" min="9" style="15" width="7.4234693877551"/>
    <col collapsed="false" hidden="false" max="10" min="10" style="15" width="6.88265306122449"/>
    <col collapsed="false" hidden="false" max="12" min="11" style="15" width="13.9030612244898"/>
    <col collapsed="false" hidden="false" max="14" min="13" style="15" width="11.2040816326531"/>
    <col collapsed="false" hidden="false" max="1025" min="15" style="0" width="10.530612244898"/>
  </cols>
  <sheetData>
    <row r="1" customFormat="false" ht="15.75" hidden="false" customHeight="true" outlineLevel="0" collapsed="false">
      <c r="A1" s="17" t="s">
        <v>14</v>
      </c>
      <c r="B1" s="17"/>
      <c r="C1" s="17"/>
      <c r="D1" s="17"/>
      <c r="E1" s="17"/>
      <c r="F1" s="17"/>
      <c r="G1" s="17"/>
      <c r="H1" s="17"/>
      <c r="I1" s="17"/>
      <c r="J1" s="17"/>
      <c r="K1" s="17"/>
      <c r="L1" s="17"/>
      <c r="M1" s="17"/>
      <c r="N1" s="17"/>
      <c r="O1" s="17"/>
      <c r="P1" s="17"/>
      <c r="Q1" s="17"/>
      <c r="R1" s="17"/>
    </row>
    <row r="2" customFormat="false" ht="15" hidden="false" customHeight="true" outlineLevel="0" collapsed="false">
      <c r="A2" s="17"/>
      <c r="B2" s="17"/>
      <c r="C2" s="17"/>
      <c r="D2" s="17"/>
      <c r="E2" s="17"/>
      <c r="F2" s="17"/>
      <c r="G2" s="17"/>
      <c r="H2" s="17"/>
      <c r="I2" s="17"/>
      <c r="J2" s="17"/>
      <c r="K2" s="17"/>
      <c r="L2" s="17"/>
      <c r="M2" s="17"/>
      <c r="N2" s="17"/>
      <c r="O2" s="17"/>
      <c r="P2" s="17"/>
      <c r="Q2" s="17"/>
      <c r="R2" s="17"/>
    </row>
    <row r="3" customFormat="false" ht="15" hidden="false" customHeight="false" outlineLevel="0" collapsed="false">
      <c r="C3" s="0"/>
      <c r="D3" s="0"/>
      <c r="E3" s="0"/>
      <c r="G3" s="18"/>
      <c r="H3" s="18"/>
      <c r="I3" s="18"/>
      <c r="J3" s="18"/>
      <c r="K3" s="18"/>
      <c r="L3" s="18"/>
    </row>
    <row r="4" customFormat="false" ht="32.25" hidden="false" customHeight="true" outlineLevel="0" collapsed="false">
      <c r="C4" s="0"/>
      <c r="D4" s="0"/>
      <c r="E4" s="0"/>
      <c r="G4" s="19" t="s">
        <v>15</v>
      </c>
      <c r="H4" s="19"/>
      <c r="I4" s="18"/>
      <c r="J4" s="18"/>
      <c r="K4" s="19" t="s">
        <v>16</v>
      </c>
      <c r="L4" s="19"/>
    </row>
    <row r="5" customFormat="false" ht="21.75" hidden="false" customHeight="true" outlineLevel="0" collapsed="false">
      <c r="B5" s="20" t="s">
        <v>17</v>
      </c>
      <c r="C5" s="0"/>
      <c r="D5" s="21" t="s">
        <v>18</v>
      </c>
      <c r="E5" s="21"/>
      <c r="G5" s="22" t="s">
        <v>19</v>
      </c>
      <c r="H5" s="23" t="n">
        <v>0.01</v>
      </c>
      <c r="I5" s="24"/>
      <c r="J5" s="25"/>
      <c r="K5" s="26" t="s">
        <v>20</v>
      </c>
      <c r="L5" s="23" t="n">
        <v>0.1</v>
      </c>
    </row>
    <row r="6" customFormat="false" ht="16.5" hidden="false" customHeight="true" outlineLevel="0" collapsed="false">
      <c r="B6" s="27" t="s">
        <v>21</v>
      </c>
      <c r="C6" s="0"/>
      <c r="D6" s="28" t="s">
        <v>22</v>
      </c>
      <c r="E6" s="29" t="n">
        <f aca="false">ABS(-0.00000069)</f>
        <v>6.9E-007</v>
      </c>
      <c r="G6" s="18"/>
      <c r="H6" s="18"/>
      <c r="I6" s="18"/>
      <c r="J6" s="18"/>
      <c r="K6" s="30"/>
      <c r="L6" s="31"/>
    </row>
    <row r="7" customFormat="false" ht="15" hidden="false" customHeight="false" outlineLevel="0" collapsed="false">
      <c r="B7" s="32" t="s">
        <v>23</v>
      </c>
      <c r="C7" s="0"/>
      <c r="D7" s="33" t="s">
        <v>24</v>
      </c>
      <c r="E7" s="34" t="n">
        <f aca="false">ABS(-0.00000058)</f>
        <v>5.8E-007</v>
      </c>
      <c r="G7" s="18"/>
      <c r="H7" s="18"/>
      <c r="I7" s="18"/>
      <c r="J7" s="18"/>
      <c r="K7" s="18"/>
      <c r="L7" s="18"/>
    </row>
    <row r="8" customFormat="false" ht="15" hidden="false" customHeight="false" outlineLevel="0" collapsed="false">
      <c r="B8" s="32" t="s">
        <v>25</v>
      </c>
      <c r="C8" s="0"/>
      <c r="D8" s="33" t="s">
        <v>26</v>
      </c>
      <c r="E8" s="34" t="n">
        <f aca="false">ABS(-0.00000068)</f>
        <v>6.8E-007</v>
      </c>
      <c r="G8" s="18"/>
      <c r="H8" s="18"/>
      <c r="I8" s="18"/>
      <c r="J8" s="18"/>
      <c r="K8" s="18"/>
      <c r="L8" s="18"/>
    </row>
    <row r="9" customFormat="false" ht="15.75" hidden="false" customHeight="false" outlineLevel="0" collapsed="false">
      <c r="B9" s="32" t="s">
        <v>27</v>
      </c>
      <c r="C9" s="0"/>
      <c r="D9" s="33" t="s">
        <v>28</v>
      </c>
      <c r="E9" s="34" t="n">
        <f aca="false">ABS(-0.00002165)</f>
        <v>2.165E-005</v>
      </c>
      <c r="G9" s="35" t="s">
        <v>29</v>
      </c>
      <c r="H9" s="35"/>
      <c r="I9" s="36"/>
      <c r="J9" s="18"/>
      <c r="K9" s="37" t="s">
        <v>30</v>
      </c>
      <c r="L9" s="37"/>
    </row>
    <row r="10" customFormat="false" ht="15.75" hidden="false" customHeight="false" outlineLevel="0" collapsed="false">
      <c r="B10" s="32" t="s">
        <v>31</v>
      </c>
      <c r="C10" s="0"/>
      <c r="D10" s="33" t="s">
        <v>32</v>
      </c>
      <c r="E10" s="34" t="n">
        <f aca="false">ABS(-0.00002168)</f>
        <v>2.168E-005</v>
      </c>
      <c r="G10" s="38" t="s">
        <v>33</v>
      </c>
      <c r="H10" s="39" t="n">
        <f aca="false">SUM(E7:E140)</f>
        <v>0.43538092</v>
      </c>
      <c r="I10" s="40"/>
      <c r="J10" s="18"/>
      <c r="K10" s="41" t="s">
        <v>34</v>
      </c>
      <c r="L10" s="42" t="n">
        <f aca="false">$L$5*(E57+E63+E65+E68+E70+E74+E75+E80+E81+E82+E85+E86+E87+E90+E91+E95+E96+E97+E99+E100+E101)</f>
        <v>0.001930121</v>
      </c>
    </row>
    <row r="11" customFormat="false" ht="21.75" hidden="false" customHeight="true" outlineLevel="0" collapsed="false">
      <c r="B11" s="32" t="s">
        <v>35</v>
      </c>
      <c r="C11" s="0"/>
      <c r="D11" s="33" t="s">
        <v>36</v>
      </c>
      <c r="E11" s="34" t="n">
        <f aca="false">ABS(-0.00002161)</f>
        <v>2.161E-005</v>
      </c>
      <c r="G11" s="0"/>
      <c r="H11" s="0"/>
      <c r="I11" s="40"/>
      <c r="J11" s="18"/>
      <c r="K11" s="0"/>
      <c r="L11" s="0"/>
    </row>
    <row r="12" customFormat="false" ht="15.75" hidden="false" customHeight="false" outlineLevel="0" collapsed="false">
      <c r="B12" s="32" t="s">
        <v>37</v>
      </c>
      <c r="C12" s="0"/>
      <c r="D12" s="33" t="s">
        <v>38</v>
      </c>
      <c r="E12" s="34" t="n">
        <f aca="false">ABS(-0.00000008)</f>
        <v>8E-008</v>
      </c>
      <c r="G12" s="40"/>
      <c r="H12" s="40"/>
      <c r="I12" s="40"/>
      <c r="J12" s="18"/>
      <c r="K12" s="40"/>
      <c r="L12" s="40"/>
    </row>
    <row r="13" customFormat="false" ht="15" hidden="false" customHeight="false" outlineLevel="0" collapsed="false">
      <c r="B13" s="32" t="s">
        <v>39</v>
      </c>
      <c r="C13" s="0"/>
      <c r="D13" s="33" t="s">
        <v>40</v>
      </c>
      <c r="E13" s="34" t="n">
        <f aca="false">ABS(-0.00000013)</f>
        <v>1.3E-007</v>
      </c>
      <c r="G13" s="18"/>
      <c r="H13" s="18"/>
      <c r="I13" s="18"/>
      <c r="J13" s="18"/>
      <c r="K13" s="18"/>
      <c r="L13" s="18"/>
    </row>
    <row r="14" customFormat="false" ht="15" hidden="false" customHeight="false" outlineLevel="0" collapsed="false">
      <c r="B14" s="32" t="s">
        <v>41</v>
      </c>
      <c r="C14" s="0"/>
      <c r="D14" s="33" t="s">
        <v>42</v>
      </c>
      <c r="E14" s="34" t="n">
        <f aca="false">ABS(-0.00000007)</f>
        <v>7E-008</v>
      </c>
      <c r="G14" s="18"/>
      <c r="H14" s="18"/>
      <c r="I14" s="18"/>
      <c r="J14" s="18"/>
      <c r="K14" s="0"/>
      <c r="L14" s="0"/>
    </row>
    <row r="15" customFormat="false" ht="32.25" hidden="false" customHeight="true" outlineLevel="0" collapsed="false">
      <c r="B15" s="32" t="s">
        <v>43</v>
      </c>
      <c r="C15" s="0"/>
      <c r="D15" s="33" t="s">
        <v>44</v>
      </c>
      <c r="E15" s="34" t="n">
        <f aca="false">ABS(-0.00000028)</f>
        <v>2.8E-007</v>
      </c>
      <c r="G15" s="43" t="s">
        <v>45</v>
      </c>
      <c r="H15" s="43"/>
      <c r="I15" s="0"/>
      <c r="J15" s="0"/>
      <c r="K15" s="0"/>
      <c r="L15" s="0"/>
    </row>
    <row r="16" customFormat="false" ht="20.25" hidden="false" customHeight="true" outlineLevel="0" collapsed="false">
      <c r="B16" s="32" t="s">
        <v>46</v>
      </c>
      <c r="C16" s="0"/>
      <c r="D16" s="33" t="s">
        <v>47</v>
      </c>
      <c r="E16" s="34" t="n">
        <f aca="false">ABS(-0.00000055)</f>
        <v>5.5E-007</v>
      </c>
      <c r="G16" s="44" t="s">
        <v>48</v>
      </c>
      <c r="H16" s="42" t="n">
        <f aca="false">SUM(E54:E140)</f>
        <v>0.1873778</v>
      </c>
      <c r="I16" s="18"/>
      <c r="J16" s="18"/>
      <c r="K16" s="45" t="s">
        <v>49</v>
      </c>
      <c r="L16" s="45"/>
    </row>
    <row r="17" customFormat="false" ht="18.75" hidden="false" customHeight="true" outlineLevel="0" collapsed="false">
      <c r="B17" s="32" t="s">
        <v>50</v>
      </c>
      <c r="C17" s="0"/>
      <c r="D17" s="33" t="s">
        <v>51</v>
      </c>
      <c r="E17" s="34" t="n">
        <f aca="false">ABS(-0.00000687)</f>
        <v>6.87E-006</v>
      </c>
      <c r="I17" s="18"/>
      <c r="J17" s="18"/>
      <c r="K17" s="46" t="s">
        <v>52</v>
      </c>
      <c r="L17" s="42" t="n">
        <f aca="false">($H$16/$L$10)-(1/$L$5)</f>
        <v>87.0808565887838</v>
      </c>
    </row>
    <row r="18" customFormat="false" ht="24" hidden="false" customHeight="true" outlineLevel="0" collapsed="false">
      <c r="B18" s="32" t="s">
        <v>53</v>
      </c>
      <c r="C18" s="0"/>
      <c r="D18" s="33" t="s">
        <v>54</v>
      </c>
      <c r="E18" s="34" t="n">
        <f aca="false">ABS(-0.00000001)</f>
        <v>1E-008</v>
      </c>
      <c r="I18" s="18"/>
      <c r="J18" s="18"/>
      <c r="K18" s="0"/>
      <c r="L18" s="0"/>
    </row>
    <row r="19" customFormat="false" ht="24" hidden="false" customHeight="true" outlineLevel="0" collapsed="false">
      <c r="B19" s="32" t="s">
        <v>55</v>
      </c>
      <c r="C19" s="0"/>
      <c r="D19" s="33" t="s">
        <v>56</v>
      </c>
      <c r="E19" s="34" t="n">
        <f aca="false">ABS(-0.00000001)</f>
        <v>1E-008</v>
      </c>
      <c r="K19" s="0"/>
      <c r="L19" s="0"/>
    </row>
    <row r="20" customFormat="false" ht="15.75" hidden="false" customHeight="true" outlineLevel="0" collapsed="false">
      <c r="B20" s="32" t="s">
        <v>57</v>
      </c>
      <c r="C20" s="0"/>
      <c r="D20" s="33" t="s">
        <v>58</v>
      </c>
      <c r="E20" s="34" t="n">
        <f aca="false">ABS(0)</f>
        <v>0</v>
      </c>
      <c r="K20" s="0"/>
      <c r="L20" s="0"/>
    </row>
    <row r="21" customFormat="false" ht="15.75" hidden="false" customHeight="true" outlineLevel="0" collapsed="false">
      <c r="B21" s="32" t="s">
        <v>59</v>
      </c>
      <c r="C21" s="0"/>
      <c r="D21" s="33" t="s">
        <v>60</v>
      </c>
      <c r="E21" s="34" t="n">
        <f aca="false">ABS(-0.00000001)</f>
        <v>1E-008</v>
      </c>
      <c r="K21" s="47"/>
      <c r="L21" s="47"/>
    </row>
    <row r="22" customFormat="false" ht="15.75" hidden="false" customHeight="false" outlineLevel="0" collapsed="false">
      <c r="B22" s="32" t="s">
        <v>61</v>
      </c>
      <c r="C22" s="0"/>
      <c r="D22" s="33" t="s">
        <v>62</v>
      </c>
      <c r="E22" s="34" t="n">
        <f aca="false">ABS(-0.00000076)</f>
        <v>7.6E-007</v>
      </c>
      <c r="K22" s="48"/>
      <c r="L22" s="48"/>
    </row>
    <row r="23" customFormat="false" ht="15.75" hidden="false" customHeight="false" outlineLevel="0" collapsed="false">
      <c r="B23" s="32" t="s">
        <v>63</v>
      </c>
      <c r="C23" s="0"/>
      <c r="D23" s="33" t="s">
        <v>64</v>
      </c>
      <c r="E23" s="34" t="n">
        <f aca="false">ABS(0.00000615)</f>
        <v>6.15E-006</v>
      </c>
      <c r="K23" s="49"/>
      <c r="L23" s="47"/>
    </row>
    <row r="24" customFormat="false" ht="15" hidden="false" customHeight="false" outlineLevel="0" collapsed="false">
      <c r="B24" s="32" t="s">
        <v>65</v>
      </c>
      <c r="C24" s="0"/>
      <c r="D24" s="33" t="s">
        <v>66</v>
      </c>
      <c r="E24" s="34" t="n">
        <f aca="false">ABS(0.00080079)</f>
        <v>0.00080079</v>
      </c>
      <c r="K24" s="50"/>
      <c r="L24" s="50"/>
    </row>
    <row r="25" customFormat="false" ht="15" hidden="false" customHeight="false" outlineLevel="0" collapsed="false">
      <c r="B25" s="32" t="s">
        <v>67</v>
      </c>
      <c r="C25" s="0"/>
      <c r="D25" s="33" t="s">
        <v>68</v>
      </c>
      <c r="E25" s="34" t="n">
        <f aca="false">ABS(-0.00000003)</f>
        <v>3E-008</v>
      </c>
      <c r="K25" s="50"/>
      <c r="L25" s="50"/>
    </row>
    <row r="26" customFormat="false" ht="15" hidden="false" customHeight="false" outlineLevel="0" collapsed="false">
      <c r="B26" s="32" t="s">
        <v>69</v>
      </c>
      <c r="C26" s="0"/>
      <c r="D26" s="33" t="s">
        <v>70</v>
      </c>
      <c r="E26" s="34" t="n">
        <f aca="false">ABS(-0.0000005)</f>
        <v>5E-007</v>
      </c>
      <c r="K26" s="50"/>
      <c r="L26" s="50"/>
    </row>
    <row r="27" customFormat="false" ht="15" hidden="false" customHeight="false" outlineLevel="0" collapsed="false">
      <c r="B27" s="32" t="s">
        <v>71</v>
      </c>
      <c r="C27" s="0"/>
      <c r="D27" s="33" t="s">
        <v>72</v>
      </c>
      <c r="E27" s="34" t="n">
        <f aca="false">ABS(-0.00000579)</f>
        <v>5.79E-006</v>
      </c>
    </row>
    <row r="28" customFormat="false" ht="15" hidden="false" customHeight="false" outlineLevel="0" collapsed="false">
      <c r="B28" s="32" t="s">
        <v>73</v>
      </c>
      <c r="C28" s="0"/>
      <c r="D28" s="33" t="s">
        <v>74</v>
      </c>
      <c r="E28" s="34" t="n">
        <f aca="false">ABS(0.00074059)</f>
        <v>0.00074059</v>
      </c>
    </row>
    <row r="29" customFormat="false" ht="15" hidden="false" customHeight="false" outlineLevel="0" collapsed="false">
      <c r="B29" s="32" t="s">
        <v>75</v>
      </c>
      <c r="C29" s="0"/>
      <c r="D29" s="33" t="s">
        <v>76</v>
      </c>
      <c r="E29" s="34" t="n">
        <f aca="false">ABS(-0.00000014)</f>
        <v>1.4E-007</v>
      </c>
    </row>
    <row r="30" customFormat="false" ht="15" hidden="false" customHeight="false" outlineLevel="0" collapsed="false">
      <c r="B30" s="32" t="s">
        <v>77</v>
      </c>
      <c r="C30" s="0"/>
      <c r="D30" s="33" t="s">
        <v>78</v>
      </c>
      <c r="E30" s="34" t="n">
        <f aca="false">ABS(0.00000065)</f>
        <v>6.5E-007</v>
      </c>
    </row>
    <row r="31" customFormat="false" ht="15" hidden="false" customHeight="false" outlineLevel="0" collapsed="false">
      <c r="B31" s="32" t="s">
        <v>79</v>
      </c>
      <c r="C31" s="0"/>
      <c r="D31" s="33" t="s">
        <v>80</v>
      </c>
      <c r="E31" s="34" t="n">
        <f aca="false">ABS(0.00000005)</f>
        <v>5E-008</v>
      </c>
    </row>
    <row r="32" customFormat="false" ht="15" hidden="false" customHeight="false" outlineLevel="0" collapsed="false">
      <c r="B32" s="32" t="s">
        <v>81</v>
      </c>
      <c r="C32" s="0"/>
      <c r="D32" s="33" t="s">
        <v>82</v>
      </c>
      <c r="E32" s="34" t="n">
        <f aca="false">ABS(-0.00000015)</f>
        <v>1.5E-007</v>
      </c>
    </row>
    <row r="33" customFormat="false" ht="15" hidden="false" customHeight="false" outlineLevel="0" collapsed="false">
      <c r="B33" s="32" t="s">
        <v>83</v>
      </c>
      <c r="C33" s="0"/>
      <c r="D33" s="33" t="s">
        <v>84</v>
      </c>
      <c r="E33" s="34" t="n">
        <f aca="false">ABS(-0.00000126)</f>
        <v>1.26E-006</v>
      </c>
    </row>
    <row r="34" customFormat="false" ht="15" hidden="false" customHeight="false" outlineLevel="0" collapsed="false">
      <c r="B34" s="32" t="s">
        <v>85</v>
      </c>
      <c r="C34" s="0"/>
      <c r="D34" s="33" t="s">
        <v>86</v>
      </c>
      <c r="E34" s="34" t="n">
        <f aca="false">ABS(0.00006147)</f>
        <v>6.147E-005</v>
      </c>
    </row>
    <row r="35" customFormat="false" ht="15" hidden="false" customHeight="false" outlineLevel="0" collapsed="false">
      <c r="B35" s="32" t="s">
        <v>87</v>
      </c>
      <c r="C35" s="0"/>
      <c r="D35" s="33" t="s">
        <v>88</v>
      </c>
      <c r="E35" s="34" t="n">
        <f aca="false">ABS(-0.00000078)</f>
        <v>7.8E-007</v>
      </c>
    </row>
    <row r="36" customFormat="false" ht="15" hidden="false" customHeight="false" outlineLevel="0" collapsed="false">
      <c r="B36" s="32" t="s">
        <v>89</v>
      </c>
      <c r="C36" s="0"/>
      <c r="D36" s="33" t="s">
        <v>90</v>
      </c>
      <c r="E36" s="34" t="n">
        <f aca="false">ABS(0)</f>
        <v>0</v>
      </c>
    </row>
    <row r="37" customFormat="false" ht="15" hidden="false" customHeight="false" outlineLevel="0" collapsed="false">
      <c r="B37" s="32" t="s">
        <v>91</v>
      </c>
      <c r="C37" s="0"/>
      <c r="D37" s="33" t="s">
        <v>92</v>
      </c>
      <c r="E37" s="34" t="n">
        <f aca="false">ABS(0)</f>
        <v>0</v>
      </c>
    </row>
    <row r="38" customFormat="false" ht="15" hidden="false" customHeight="false" outlineLevel="0" collapsed="false">
      <c r="B38" s="32" t="s">
        <v>93</v>
      </c>
      <c r="C38" s="0"/>
      <c r="D38" s="33" t="s">
        <v>94</v>
      </c>
      <c r="E38" s="34" t="n">
        <f aca="false">ABS(-0.00000009)</f>
        <v>9E-008</v>
      </c>
    </row>
    <row r="39" customFormat="false" ht="15" hidden="false" customHeight="false" outlineLevel="0" collapsed="false">
      <c r="B39" s="32" t="s">
        <v>95</v>
      </c>
      <c r="C39" s="0"/>
      <c r="D39" s="33" t="s">
        <v>96</v>
      </c>
      <c r="E39" s="34" t="n">
        <f aca="false">ABS(-0.00000143)</f>
        <v>1.43E-006</v>
      </c>
    </row>
    <row r="40" customFormat="false" ht="15" hidden="false" customHeight="false" outlineLevel="0" collapsed="false">
      <c r="B40" s="32" t="s">
        <v>97</v>
      </c>
      <c r="C40" s="0"/>
      <c r="D40" s="33" t="s">
        <v>98</v>
      </c>
      <c r="E40" s="34" t="n">
        <f aca="false">ABS(-0.00174672)</f>
        <v>0.00174672</v>
      </c>
    </row>
    <row r="41" customFormat="false" ht="15" hidden="false" customHeight="false" outlineLevel="0" collapsed="false">
      <c r="B41" s="32" t="s">
        <v>99</v>
      </c>
      <c r="C41" s="0"/>
      <c r="D41" s="33" t="s">
        <v>100</v>
      </c>
      <c r="E41" s="34" t="n">
        <f aca="false">ABS(-0.0006859)</f>
        <v>0.0006859</v>
      </c>
    </row>
    <row r="42" customFormat="false" ht="15" hidden="false" customHeight="false" outlineLevel="0" collapsed="false">
      <c r="B42" s="32" t="s">
        <v>101</v>
      </c>
      <c r="C42" s="0"/>
      <c r="D42" s="33" t="s">
        <v>102</v>
      </c>
      <c r="E42" s="34" t="n">
        <f aca="false">ABS(0.00687379)</f>
        <v>0.00687379</v>
      </c>
    </row>
    <row r="43" customFormat="false" ht="15" hidden="false" customHeight="false" outlineLevel="0" collapsed="false">
      <c r="B43" s="32" t="s">
        <v>103</v>
      </c>
      <c r="C43" s="0"/>
      <c r="D43" s="33" t="s">
        <v>104</v>
      </c>
      <c r="E43" s="34" t="n">
        <f aca="false">ABS(0.00800788)</f>
        <v>0.00800788</v>
      </c>
    </row>
    <row r="44" customFormat="false" ht="15" hidden="false" customHeight="false" outlineLevel="0" collapsed="false">
      <c r="B44" s="32" t="s">
        <v>105</v>
      </c>
      <c r="C44" s="0"/>
      <c r="D44" s="33" t="s">
        <v>106</v>
      </c>
      <c r="E44" s="34" t="n">
        <f aca="false">ABS(-0.2096674)</f>
        <v>0.2096674</v>
      </c>
    </row>
    <row r="45" customFormat="false" ht="15" hidden="false" customHeight="false" outlineLevel="0" collapsed="false">
      <c r="B45" s="32" t="s">
        <v>107</v>
      </c>
      <c r="C45" s="0"/>
      <c r="D45" s="33" t="s">
        <v>108</v>
      </c>
      <c r="E45" s="34" t="n">
        <f aca="false">ABS(-0.00015881)</f>
        <v>0.00015881</v>
      </c>
    </row>
    <row r="46" customFormat="false" ht="15" hidden="false" customHeight="false" outlineLevel="0" collapsed="false">
      <c r="B46" s="32" t="s">
        <v>109</v>
      </c>
      <c r="C46" s="0"/>
      <c r="D46" s="33" t="s">
        <v>110</v>
      </c>
      <c r="E46" s="34" t="n">
        <f aca="false">ABS(0.00000902)</f>
        <v>9.02E-006</v>
      </c>
    </row>
    <row r="47" customFormat="false" ht="15" hidden="false" customHeight="false" outlineLevel="0" collapsed="false">
      <c r="B47" s="32" t="s">
        <v>111</v>
      </c>
      <c r="C47" s="0"/>
      <c r="D47" s="33" t="s">
        <v>112</v>
      </c>
      <c r="E47" s="34" t="n">
        <f aca="false">ABS(-0.0000883)</f>
        <v>8.83E-005</v>
      </c>
    </row>
    <row r="48" customFormat="false" ht="15" hidden="false" customHeight="false" outlineLevel="0" collapsed="false">
      <c r="B48" s="32" t="s">
        <v>113</v>
      </c>
      <c r="C48" s="0"/>
      <c r="D48" s="33" t="s">
        <v>114</v>
      </c>
      <c r="E48" s="34" t="n">
        <f aca="false">ABS(0.00000654)</f>
        <v>6.54E-006</v>
      </c>
    </row>
    <row r="49" customFormat="false" ht="15" hidden="false" customHeight="false" outlineLevel="0" collapsed="false">
      <c r="B49" s="32" t="s">
        <v>115</v>
      </c>
      <c r="C49" s="0"/>
      <c r="D49" s="33" t="s">
        <v>116</v>
      </c>
      <c r="E49" s="34" t="n">
        <f aca="false">ABS(-0.01746716)</f>
        <v>0.01746716</v>
      </c>
    </row>
    <row r="50" customFormat="false" ht="15" hidden="false" customHeight="false" outlineLevel="0" collapsed="false">
      <c r="B50" s="32" t="s">
        <v>117</v>
      </c>
      <c r="C50" s="0"/>
      <c r="D50" s="33" t="s">
        <v>118</v>
      </c>
      <c r="E50" s="34" t="n">
        <f aca="false">ABS(-0.00000005)</f>
        <v>5E-008</v>
      </c>
    </row>
    <row r="51" customFormat="false" ht="15" hidden="false" customHeight="false" outlineLevel="0" collapsed="false">
      <c r="B51" s="32" t="s">
        <v>119</v>
      </c>
      <c r="C51" s="0"/>
      <c r="D51" s="33" t="s">
        <v>120</v>
      </c>
      <c r="E51" s="34" t="n">
        <f aca="false">ABS(-0.00000087)</f>
        <v>8.7E-007</v>
      </c>
    </row>
    <row r="52" customFormat="false" ht="15" hidden="false" customHeight="false" outlineLevel="0" collapsed="false">
      <c r="B52" s="32" t="s">
        <v>121</v>
      </c>
      <c r="C52" s="0"/>
      <c r="D52" s="33" t="s">
        <v>122</v>
      </c>
      <c r="E52" s="34" t="n">
        <f aca="false">ABS(-0.00000779)</f>
        <v>7.79E-006</v>
      </c>
    </row>
    <row r="53" customFormat="false" ht="15" hidden="false" customHeight="false" outlineLevel="0" collapsed="false">
      <c r="B53" s="32" t="s">
        <v>123</v>
      </c>
      <c r="C53" s="0"/>
      <c r="D53" s="33" t="s">
        <v>124</v>
      </c>
      <c r="E53" s="34" t="n">
        <f aca="false">ABS(-0.00158805)</f>
        <v>0.00158805</v>
      </c>
    </row>
    <row r="54" customFormat="false" ht="15" hidden="false" customHeight="false" outlineLevel="0" collapsed="false">
      <c r="B54" s="32" t="s">
        <v>125</v>
      </c>
      <c r="C54" s="0"/>
      <c r="D54" s="33" t="s">
        <v>126</v>
      </c>
      <c r="E54" s="34" t="n">
        <f aca="false">ABS(-0.00000009)</f>
        <v>9E-008</v>
      </c>
    </row>
    <row r="55" customFormat="false" ht="15" hidden="false" customHeight="false" outlineLevel="0" collapsed="false">
      <c r="B55" s="32" t="s">
        <v>127</v>
      </c>
      <c r="C55" s="0"/>
      <c r="D55" s="33" t="s">
        <v>128</v>
      </c>
      <c r="E55" s="34" t="n">
        <f aca="false">ABS(-0.0000001)</f>
        <v>1E-007</v>
      </c>
    </row>
    <row r="56" customFormat="false" ht="15" hidden="false" customHeight="false" outlineLevel="0" collapsed="false">
      <c r="B56" s="32" t="s">
        <v>129</v>
      </c>
      <c r="C56" s="0"/>
      <c r="D56" s="33" t="s">
        <v>130</v>
      </c>
      <c r="E56" s="34" t="n">
        <f aca="false">ABS(-0.00000008)</f>
        <v>8E-008</v>
      </c>
    </row>
    <row r="57" customFormat="false" ht="15" hidden="false" customHeight="false" outlineLevel="0" collapsed="false">
      <c r="B57" s="32" t="s">
        <v>131</v>
      </c>
      <c r="C57" s="0"/>
      <c r="D57" s="33" t="s">
        <v>132</v>
      </c>
      <c r="E57" s="34" t="n">
        <f aca="false">ABS(-0.00000682)</f>
        <v>6.82E-006</v>
      </c>
    </row>
    <row r="58" customFormat="false" ht="15" hidden="false" customHeight="false" outlineLevel="0" collapsed="false">
      <c r="B58" s="32" t="s">
        <v>133</v>
      </c>
      <c r="C58" s="0"/>
      <c r="D58" s="33" t="s">
        <v>134</v>
      </c>
      <c r="E58" s="34" t="n">
        <f aca="false">ABS(-0.00000029)</f>
        <v>2.9E-007</v>
      </c>
    </row>
    <row r="59" customFormat="false" ht="15" hidden="false" customHeight="false" outlineLevel="0" collapsed="false">
      <c r="B59" s="32" t="s">
        <v>135</v>
      </c>
      <c r="C59" s="0"/>
      <c r="D59" s="33" t="s">
        <v>136</v>
      </c>
      <c r="E59" s="34" t="n">
        <f aca="false">ABS(-0.00000058)</f>
        <v>5.8E-007</v>
      </c>
    </row>
    <row r="60" customFormat="false" ht="15" hidden="false" customHeight="false" outlineLevel="0" collapsed="false">
      <c r="B60" s="32" t="s">
        <v>137</v>
      </c>
      <c r="C60" s="0"/>
      <c r="D60" s="33" t="s">
        <v>138</v>
      </c>
      <c r="E60" s="34" t="n">
        <f aca="false">ABS(-0.00000002)</f>
        <v>2E-008</v>
      </c>
    </row>
    <row r="61" customFormat="false" ht="15" hidden="false" customHeight="false" outlineLevel="0" collapsed="false">
      <c r="B61" s="32" t="s">
        <v>139</v>
      </c>
      <c r="C61" s="0"/>
      <c r="D61" s="33" t="s">
        <v>140</v>
      </c>
      <c r="E61" s="34" t="n">
        <f aca="false">ABS(-0.00000002)</f>
        <v>2E-008</v>
      </c>
    </row>
    <row r="62" customFormat="false" ht="15" hidden="false" customHeight="false" outlineLevel="0" collapsed="false">
      <c r="B62" s="32" t="s">
        <v>141</v>
      </c>
      <c r="C62" s="0"/>
      <c r="D62" s="33" t="s">
        <v>142</v>
      </c>
      <c r="E62" s="34" t="n">
        <f aca="false">ABS(-0.00000001)</f>
        <v>1E-008</v>
      </c>
    </row>
    <row r="63" customFormat="false" ht="15" hidden="false" customHeight="false" outlineLevel="0" collapsed="false">
      <c r="B63" s="32" t="s">
        <v>143</v>
      </c>
      <c r="C63" s="0"/>
      <c r="D63" s="33" t="s">
        <v>144</v>
      </c>
      <c r="E63" s="34" t="n">
        <f aca="false">ABS(-0.00000068)</f>
        <v>6.8E-007</v>
      </c>
    </row>
    <row r="64" customFormat="false" ht="15" hidden="false" customHeight="false" outlineLevel="0" collapsed="false">
      <c r="B64" s="32" t="s">
        <v>145</v>
      </c>
      <c r="C64" s="0"/>
      <c r="D64" s="33" t="s">
        <v>146</v>
      </c>
      <c r="E64" s="34" t="n">
        <f aca="false">ABS(-0.00000002)</f>
        <v>2E-008</v>
      </c>
    </row>
    <row r="65" customFormat="false" ht="15" hidden="false" customHeight="false" outlineLevel="0" collapsed="false">
      <c r="B65" s="32" t="s">
        <v>147</v>
      </c>
      <c r="C65" s="0"/>
      <c r="D65" s="33" t="s">
        <v>148</v>
      </c>
      <c r="E65" s="34" t="n">
        <f aca="false">ABS(-0.00000086)</f>
        <v>8.6E-007</v>
      </c>
    </row>
    <row r="66" customFormat="false" ht="15" hidden="false" customHeight="false" outlineLevel="0" collapsed="false">
      <c r="B66" s="32" t="s">
        <v>149</v>
      </c>
      <c r="C66" s="0"/>
      <c r="D66" s="33" t="s">
        <v>150</v>
      </c>
      <c r="E66" s="34" t="n">
        <f aca="false">ABS(0)</f>
        <v>0</v>
      </c>
    </row>
    <row r="67" customFormat="false" ht="15" hidden="false" customHeight="false" outlineLevel="0" collapsed="false">
      <c r="B67" s="32" t="s">
        <v>151</v>
      </c>
      <c r="C67" s="0"/>
      <c r="D67" s="33" t="s">
        <v>152</v>
      </c>
      <c r="E67" s="34" t="n">
        <f aca="false">ABS(0)</f>
        <v>0</v>
      </c>
    </row>
    <row r="68" customFormat="false" ht="15" hidden="false" customHeight="false" outlineLevel="0" collapsed="false">
      <c r="B68" s="32" t="s">
        <v>153</v>
      </c>
      <c r="C68" s="0"/>
      <c r="D68" s="33" t="s">
        <v>154</v>
      </c>
      <c r="E68" s="34" t="n">
        <f aca="false">ABS(-0.00000006)</f>
        <v>6E-008</v>
      </c>
    </row>
    <row r="69" customFormat="false" ht="15" hidden="false" customHeight="false" outlineLevel="0" collapsed="false">
      <c r="B69" s="32" t="s">
        <v>155</v>
      </c>
      <c r="C69" s="0"/>
      <c r="D69" s="33" t="s">
        <v>156</v>
      </c>
      <c r="E69" s="34" t="n">
        <f aca="false">ABS(0)</f>
        <v>0</v>
      </c>
    </row>
    <row r="70" customFormat="false" ht="15" hidden="false" customHeight="false" outlineLevel="0" collapsed="false">
      <c r="B70" s="32" t="s">
        <v>157</v>
      </c>
      <c r="C70" s="0"/>
      <c r="D70" s="33" t="s">
        <v>158</v>
      </c>
      <c r="E70" s="34" t="n">
        <f aca="false">ABS(-0.00000017)</f>
        <v>1.7E-007</v>
      </c>
    </row>
    <row r="71" customFormat="false" ht="15" hidden="false" customHeight="false" outlineLevel="0" collapsed="false">
      <c r="B71" s="32" t="s">
        <v>159</v>
      </c>
      <c r="C71" s="0"/>
      <c r="D71" s="33" t="s">
        <v>160</v>
      </c>
      <c r="E71" s="34" t="n">
        <f aca="false">ABS(0.00000054)</f>
        <v>5.4E-007</v>
      </c>
    </row>
    <row r="72" customFormat="false" ht="15" hidden="false" customHeight="false" outlineLevel="0" collapsed="false">
      <c r="B72" s="32" t="s">
        <v>161</v>
      </c>
      <c r="C72" s="0"/>
      <c r="D72" s="33" t="s">
        <v>162</v>
      </c>
      <c r="E72" s="34" t="n">
        <f aca="false">ABS(-0.00000672)</f>
        <v>6.72E-006</v>
      </c>
    </row>
    <row r="73" customFormat="false" ht="15" hidden="false" customHeight="false" outlineLevel="0" collapsed="false">
      <c r="B73" s="32" t="s">
        <v>163</v>
      </c>
      <c r="C73" s="0"/>
      <c r="D73" s="33" t="s">
        <v>164</v>
      </c>
      <c r="E73" s="34" t="n">
        <f aca="false">ABS(-0.00000007)</f>
        <v>7E-008</v>
      </c>
    </row>
    <row r="74" customFormat="false" ht="15" hidden="false" customHeight="false" outlineLevel="0" collapsed="false">
      <c r="B74" s="32" t="s">
        <v>165</v>
      </c>
      <c r="C74" s="0"/>
      <c r="D74" s="33" t="s">
        <v>166</v>
      </c>
      <c r="E74" s="34" t="n">
        <f aca="false">ABS(-0.00000035)</f>
        <v>3.5E-007</v>
      </c>
    </row>
    <row r="75" customFormat="false" ht="15" hidden="false" customHeight="false" outlineLevel="0" collapsed="false">
      <c r="B75" s="32" t="s">
        <v>167</v>
      </c>
      <c r="C75" s="0"/>
      <c r="D75" s="33" t="s">
        <v>168</v>
      </c>
      <c r="E75" s="34" t="n">
        <f aca="false">ABS(-0.00000099)</f>
        <v>9.9E-007</v>
      </c>
    </row>
    <row r="76" customFormat="false" ht="15" hidden="false" customHeight="false" outlineLevel="0" collapsed="false">
      <c r="B76" s="32" t="s">
        <v>169</v>
      </c>
      <c r="C76" s="0"/>
      <c r="D76" s="33" t="s">
        <v>170</v>
      </c>
      <c r="E76" s="34" t="n">
        <f aca="false">ABS(-0.00000051)</f>
        <v>5.1E-007</v>
      </c>
    </row>
    <row r="77" customFormat="false" ht="15" hidden="false" customHeight="false" outlineLevel="0" collapsed="false">
      <c r="B77" s="32" t="s">
        <v>171</v>
      </c>
      <c r="C77" s="0"/>
      <c r="D77" s="33" t="s">
        <v>172</v>
      </c>
      <c r="E77" s="34" t="n">
        <f aca="false">ABS(0.00000007)</f>
        <v>7E-008</v>
      </c>
    </row>
    <row r="78" customFormat="false" ht="15" hidden="false" customHeight="false" outlineLevel="0" collapsed="false">
      <c r="B78" s="32" t="s">
        <v>173</v>
      </c>
      <c r="C78" s="0"/>
      <c r="D78" s="33" t="s">
        <v>174</v>
      </c>
      <c r="E78" s="34" t="n">
        <f aca="false">ABS(-0.00000005)</f>
        <v>5E-008</v>
      </c>
    </row>
    <row r="79" customFormat="false" ht="15" hidden="false" customHeight="false" outlineLevel="0" collapsed="false">
      <c r="B79" s="32" t="s">
        <v>175</v>
      </c>
      <c r="C79" s="0"/>
      <c r="D79" s="33" t="s">
        <v>176</v>
      </c>
      <c r="E79" s="34" t="n">
        <f aca="false">ABS(0)</f>
        <v>0</v>
      </c>
    </row>
    <row r="80" customFormat="false" ht="15" hidden="false" customHeight="false" outlineLevel="0" collapsed="false">
      <c r="B80" s="32" t="s">
        <v>177</v>
      </c>
      <c r="C80" s="0"/>
      <c r="D80" s="33" t="s">
        <v>178</v>
      </c>
      <c r="E80" s="34" t="n">
        <f aca="false">ABS(0.00000047)</f>
        <v>4.7E-007</v>
      </c>
    </row>
    <row r="81" customFormat="false" ht="15" hidden="false" customHeight="false" outlineLevel="0" collapsed="false">
      <c r="B81" s="32" t="s">
        <v>179</v>
      </c>
      <c r="C81" s="0"/>
      <c r="D81" s="33" t="s">
        <v>180</v>
      </c>
      <c r="E81" s="34" t="n">
        <f aca="false">ABS(-0.00000015)</f>
        <v>1.5E-007</v>
      </c>
    </row>
    <row r="82" customFormat="false" ht="15" hidden="false" customHeight="false" outlineLevel="0" collapsed="false">
      <c r="B82" s="32" t="s">
        <v>181</v>
      </c>
      <c r="C82" s="0"/>
      <c r="D82" s="33" t="s">
        <v>182</v>
      </c>
      <c r="E82" s="34" t="n">
        <f aca="false">ABS(0.00000538)</f>
        <v>5.38E-006</v>
      </c>
    </row>
    <row r="83" customFormat="false" ht="15" hidden="false" customHeight="false" outlineLevel="0" collapsed="false">
      <c r="B83" s="32" t="s">
        <v>183</v>
      </c>
      <c r="C83" s="0"/>
      <c r="D83" s="33" t="s">
        <v>184</v>
      </c>
      <c r="E83" s="34" t="n">
        <f aca="false">ABS(0.00000005)</f>
        <v>5E-008</v>
      </c>
    </row>
    <row r="84" customFormat="false" ht="15" hidden="false" customHeight="false" outlineLevel="0" collapsed="false">
      <c r="B84" s="32" t="s">
        <v>185</v>
      </c>
      <c r="C84" s="0"/>
      <c r="D84" s="33" t="s">
        <v>186</v>
      </c>
      <c r="E84" s="34" t="n">
        <f aca="false">ABS(0)</f>
        <v>0</v>
      </c>
    </row>
    <row r="85" customFormat="false" ht="15" hidden="false" customHeight="false" outlineLevel="0" collapsed="false">
      <c r="B85" s="32" t="s">
        <v>187</v>
      </c>
      <c r="C85" s="0"/>
      <c r="D85" s="33" t="s">
        <v>188</v>
      </c>
      <c r="E85" s="34" t="n">
        <f aca="false">ABS(0.00000003)</f>
        <v>3E-008</v>
      </c>
    </row>
    <row r="86" customFormat="false" ht="15" hidden="false" customHeight="false" outlineLevel="0" collapsed="false">
      <c r="B86" s="32" t="s">
        <v>189</v>
      </c>
      <c r="C86" s="0"/>
      <c r="D86" s="33" t="s">
        <v>190</v>
      </c>
      <c r="E86" s="34" t="n">
        <f aca="false">ABS(-0.00000002)</f>
        <v>2E-008</v>
      </c>
    </row>
    <row r="87" customFormat="false" ht="15" hidden="false" customHeight="false" outlineLevel="0" collapsed="false">
      <c r="B87" s="32" t="s">
        <v>191</v>
      </c>
      <c r="C87" s="0"/>
      <c r="D87" s="33" t="s">
        <v>192</v>
      </c>
      <c r="E87" s="34" t="n">
        <f aca="false">ABS(0.00000073)</f>
        <v>7.3E-007</v>
      </c>
    </row>
    <row r="88" customFormat="false" ht="15" hidden="false" customHeight="false" outlineLevel="0" collapsed="false">
      <c r="B88" s="32" t="s">
        <v>193</v>
      </c>
      <c r="C88" s="0"/>
      <c r="D88" s="33" t="s">
        <v>194</v>
      </c>
      <c r="E88" s="34" t="n">
        <f aca="false">ABS(0.0011456)</f>
        <v>0.0011456</v>
      </c>
    </row>
    <row r="89" customFormat="false" ht="15" hidden="false" customHeight="false" outlineLevel="0" collapsed="false">
      <c r="B89" s="32" t="s">
        <v>195</v>
      </c>
      <c r="C89" s="0"/>
      <c r="D89" s="33" t="s">
        <v>196</v>
      </c>
      <c r="E89" s="34" t="n">
        <f aca="false">ABS(-0.0000908)</f>
        <v>9.08E-005</v>
      </c>
    </row>
    <row r="90" customFormat="false" ht="15" hidden="false" customHeight="false" outlineLevel="0" collapsed="false">
      <c r="B90" s="32" t="s">
        <v>197</v>
      </c>
      <c r="C90" s="0"/>
      <c r="D90" s="33" t="s">
        <v>198</v>
      </c>
      <c r="E90" s="34" t="n">
        <f aca="false">ABS(-0.00685902)</f>
        <v>0.00685902</v>
      </c>
    </row>
    <row r="91" customFormat="false" ht="15" hidden="false" customHeight="false" outlineLevel="0" collapsed="false">
      <c r="B91" s="32" t="s">
        <v>199</v>
      </c>
      <c r="C91" s="0"/>
      <c r="D91" s="33" t="s">
        <v>200</v>
      </c>
      <c r="E91" s="34" t="n">
        <f aca="false">ABS(-0.0000672)</f>
        <v>6.72E-005</v>
      </c>
    </row>
    <row r="92" customFormat="false" ht="15" hidden="false" customHeight="false" outlineLevel="0" collapsed="false">
      <c r="B92" s="32" t="s">
        <v>201</v>
      </c>
      <c r="C92" s="0"/>
      <c r="D92" s="33" t="s">
        <v>202</v>
      </c>
      <c r="E92" s="34" t="n">
        <f aca="false">ABS(0.1639843)</f>
        <v>0.1639843</v>
      </c>
    </row>
    <row r="93" customFormat="false" ht="15" hidden="false" customHeight="false" outlineLevel="0" collapsed="false">
      <c r="B93" s="32" t="s">
        <v>203</v>
      </c>
      <c r="C93" s="0"/>
      <c r="D93" s="33" t="s">
        <v>204</v>
      </c>
      <c r="E93" s="34" t="n">
        <f aca="false">ABS(0.0000803)</f>
        <v>8.03E-005</v>
      </c>
    </row>
    <row r="94" customFormat="false" ht="15" hidden="false" customHeight="false" outlineLevel="0" collapsed="false">
      <c r="B94" s="32" t="s">
        <v>205</v>
      </c>
      <c r="C94" s="0"/>
      <c r="D94" s="33" t="s">
        <v>206</v>
      </c>
      <c r="E94" s="34" t="n">
        <f aca="false">ABS(0.00000062)</f>
        <v>6.2E-007</v>
      </c>
    </row>
    <row r="95" customFormat="false" ht="15" hidden="false" customHeight="false" outlineLevel="0" collapsed="false">
      <c r="B95" s="32" t="s">
        <v>207</v>
      </c>
      <c r="C95" s="0"/>
      <c r="D95" s="33" t="s">
        <v>208</v>
      </c>
      <c r="E95" s="34" t="n">
        <f aca="false">ABS(0.00009021)</f>
        <v>9.021E-005</v>
      </c>
    </row>
    <row r="96" customFormat="false" ht="15" hidden="false" customHeight="false" outlineLevel="0" collapsed="false">
      <c r="B96" s="32" t="s">
        <v>209</v>
      </c>
      <c r="C96" s="0"/>
      <c r="D96" s="33" t="s">
        <v>210</v>
      </c>
      <c r="E96" s="34" t="n">
        <f aca="false">ABS(-0.00000048)</f>
        <v>4.8E-007</v>
      </c>
    </row>
    <row r="97" customFormat="false" ht="15" hidden="false" customHeight="false" outlineLevel="0" collapsed="false">
      <c r="B97" s="32" t="s">
        <v>211</v>
      </c>
      <c r="C97" s="0"/>
      <c r="D97" s="33" t="s">
        <v>212</v>
      </c>
      <c r="E97" s="34" t="n">
        <f aca="false">ABS(0.01145601)</f>
        <v>0.01145601</v>
      </c>
    </row>
    <row r="98" customFormat="false" ht="15" hidden="false" customHeight="false" outlineLevel="0" collapsed="false">
      <c r="B98" s="32" t="s">
        <v>213</v>
      </c>
      <c r="C98" s="0"/>
      <c r="D98" s="33" t="s">
        <v>214</v>
      </c>
      <c r="E98" s="34" t="n">
        <f aca="false">ABS(0.00000014)</f>
        <v>1.4E-007</v>
      </c>
    </row>
    <row r="99" customFormat="false" ht="15" hidden="false" customHeight="false" outlineLevel="0" collapsed="false">
      <c r="B99" s="32" t="s">
        <v>215</v>
      </c>
      <c r="C99" s="0"/>
      <c r="D99" s="33" t="s">
        <v>216</v>
      </c>
      <c r="E99" s="34" t="n">
        <f aca="false">ABS(0.00000812)</f>
        <v>8.12E-006</v>
      </c>
    </row>
    <row r="100" customFormat="false" ht="15" hidden="false" customHeight="false" outlineLevel="0" collapsed="false">
      <c r="B100" s="32" t="s">
        <v>217</v>
      </c>
      <c r="C100" s="0"/>
      <c r="D100" s="33" t="s">
        <v>218</v>
      </c>
      <c r="E100" s="34" t="n">
        <f aca="false">ABS(0.00000049)</f>
        <v>4.9E-007</v>
      </c>
    </row>
    <row r="101" customFormat="false" ht="15" hidden="false" customHeight="false" outlineLevel="0" collapsed="false">
      <c r="B101" s="32" t="s">
        <v>219</v>
      </c>
      <c r="C101" s="0"/>
      <c r="D101" s="33" t="s">
        <v>220</v>
      </c>
      <c r="E101" s="34" t="n">
        <f aca="false">ABS(0.00080297)</f>
        <v>0.00080297</v>
      </c>
    </row>
    <row r="102" customFormat="false" ht="15" hidden="false" customHeight="false" outlineLevel="0" collapsed="false">
      <c r="B102" s="32" t="s">
        <v>221</v>
      </c>
      <c r="C102" s="0"/>
      <c r="D102" s="33" t="s">
        <v>222</v>
      </c>
      <c r="E102" s="34" t="n">
        <f aca="false">ABS(-0.00000001)</f>
        <v>1E-008</v>
      </c>
    </row>
    <row r="103" customFormat="false" ht="15" hidden="false" customHeight="false" outlineLevel="0" collapsed="false">
      <c r="B103" s="32" t="s">
        <v>223</v>
      </c>
      <c r="C103" s="0"/>
      <c r="D103" s="33" t="s">
        <v>224</v>
      </c>
      <c r="E103" s="34" t="n">
        <f aca="false">ABS(-0.00000001)</f>
        <v>1E-008</v>
      </c>
    </row>
    <row r="104" customFormat="false" ht="15" hidden="false" customHeight="false" outlineLevel="0" collapsed="false">
      <c r="B104" s="32" t="s">
        <v>225</v>
      </c>
      <c r="C104" s="0"/>
      <c r="D104" s="33" t="s">
        <v>226</v>
      </c>
      <c r="E104" s="34" t="n">
        <f aca="false">ABS(-0.00000078)</f>
        <v>7.8E-007</v>
      </c>
    </row>
    <row r="105" customFormat="false" ht="15" hidden="false" customHeight="false" outlineLevel="0" collapsed="false">
      <c r="B105" s="32" t="s">
        <v>227</v>
      </c>
      <c r="C105" s="0"/>
      <c r="D105" s="33" t="s">
        <v>228</v>
      </c>
      <c r="E105" s="34" t="n">
        <f aca="false">ABS(0)</f>
        <v>0</v>
      </c>
    </row>
    <row r="106" customFormat="false" ht="15" hidden="false" customHeight="false" outlineLevel="0" collapsed="false">
      <c r="B106" s="32" t="s">
        <v>229</v>
      </c>
      <c r="C106" s="0"/>
      <c r="D106" s="33" t="s">
        <v>230</v>
      </c>
      <c r="E106" s="34" t="n">
        <f aca="false">ABS(-0.00000002)</f>
        <v>2E-008</v>
      </c>
    </row>
    <row r="107" customFormat="false" ht="15" hidden="false" customHeight="false" outlineLevel="0" collapsed="false">
      <c r="B107" s="32" t="s">
        <v>231</v>
      </c>
      <c r="C107" s="0"/>
      <c r="D107" s="33" t="s">
        <v>232</v>
      </c>
      <c r="E107" s="34" t="n">
        <f aca="false">ABS(0)</f>
        <v>0</v>
      </c>
    </row>
    <row r="108" customFormat="false" ht="15" hidden="false" customHeight="false" outlineLevel="0" collapsed="false">
      <c r="B108" s="32" t="s">
        <v>233</v>
      </c>
      <c r="C108" s="0"/>
      <c r="D108" s="33" t="s">
        <v>234</v>
      </c>
      <c r="E108" s="34" t="n">
        <f aca="false">ABS(0)</f>
        <v>0</v>
      </c>
    </row>
    <row r="109" customFormat="false" ht="15" hidden="false" customHeight="false" outlineLevel="0" collapsed="false">
      <c r="B109" s="32" t="s">
        <v>235</v>
      </c>
      <c r="C109" s="0"/>
      <c r="D109" s="33" t="s">
        <v>236</v>
      </c>
      <c r="E109" s="34" t="n">
        <f aca="false">ABS(-0.00000014)</f>
        <v>1.4E-007</v>
      </c>
    </row>
    <row r="110" customFormat="false" ht="15" hidden="false" customHeight="false" outlineLevel="0" collapsed="false">
      <c r="B110" s="32" t="s">
        <v>237</v>
      </c>
      <c r="C110" s="0"/>
      <c r="D110" s="33" t="s">
        <v>238</v>
      </c>
      <c r="E110" s="34" t="n">
        <f aca="false">ABS(0)</f>
        <v>0</v>
      </c>
    </row>
    <row r="111" customFormat="false" ht="15" hidden="false" customHeight="false" outlineLevel="0" collapsed="false">
      <c r="B111" s="32" t="s">
        <v>239</v>
      </c>
      <c r="C111" s="0"/>
      <c r="D111" s="33" t="s">
        <v>240</v>
      </c>
      <c r="E111" s="34" t="n">
        <f aca="false">ABS(-0.00000009)</f>
        <v>9E-008</v>
      </c>
    </row>
    <row r="112" customFormat="false" ht="15" hidden="false" customHeight="false" outlineLevel="0" collapsed="false">
      <c r="B112" s="32" t="s">
        <v>241</v>
      </c>
      <c r="C112" s="0"/>
      <c r="D112" s="33" t="s">
        <v>242</v>
      </c>
      <c r="E112" s="34" t="n">
        <f aca="false">ABS(0)</f>
        <v>0</v>
      </c>
    </row>
    <row r="113" customFormat="false" ht="15" hidden="false" customHeight="false" outlineLevel="0" collapsed="false">
      <c r="B113" s="32" t="s">
        <v>243</v>
      </c>
      <c r="C113" s="0"/>
      <c r="D113" s="33" t="s">
        <v>244</v>
      </c>
      <c r="E113" s="34" t="n">
        <f aca="false">ABS(-0.00000002)</f>
        <v>2E-008</v>
      </c>
    </row>
    <row r="114" customFormat="false" ht="15" hidden="false" customHeight="false" outlineLevel="0" collapsed="false">
      <c r="B114" s="32" t="s">
        <v>245</v>
      </c>
      <c r="C114" s="0"/>
      <c r="D114" s="33" t="s">
        <v>246</v>
      </c>
      <c r="E114" s="34" t="n">
        <f aca="false">ABS(0)</f>
        <v>0</v>
      </c>
    </row>
    <row r="115" customFormat="false" ht="15" hidden="false" customHeight="false" outlineLevel="0" collapsed="false">
      <c r="B115" s="32" t="s">
        <v>247</v>
      </c>
      <c r="C115" s="0"/>
      <c r="D115" s="33" t="s">
        <v>248</v>
      </c>
      <c r="E115" s="34" t="n">
        <f aca="false">ABS(-0.00000003)</f>
        <v>3E-008</v>
      </c>
    </row>
    <row r="116" customFormat="false" ht="15" hidden="false" customHeight="false" outlineLevel="0" collapsed="false">
      <c r="B116" s="32" t="s">
        <v>249</v>
      </c>
      <c r="C116" s="0"/>
      <c r="D116" s="33" t="s">
        <v>250</v>
      </c>
      <c r="E116" s="34" t="n">
        <f aca="false">ABS(0)</f>
        <v>0</v>
      </c>
    </row>
    <row r="117" customFormat="false" ht="15" hidden="false" customHeight="false" outlineLevel="0" collapsed="false">
      <c r="B117" s="32" t="s">
        <v>251</v>
      </c>
      <c r="C117" s="0"/>
      <c r="D117" s="33" t="s">
        <v>252</v>
      </c>
      <c r="E117" s="34" t="n">
        <f aca="false">ABS(-0.00000007)</f>
        <v>7E-008</v>
      </c>
    </row>
    <row r="118" customFormat="false" ht="15" hidden="false" customHeight="false" outlineLevel="0" collapsed="false">
      <c r="B118" s="32" t="s">
        <v>253</v>
      </c>
      <c r="C118" s="0"/>
      <c r="D118" s="33" t="s">
        <v>254</v>
      </c>
      <c r="E118" s="34" t="n">
        <f aca="false">ABS(-0.00000068)</f>
        <v>6.8E-007</v>
      </c>
    </row>
    <row r="119" customFormat="false" ht="15" hidden="false" customHeight="false" outlineLevel="0" collapsed="false">
      <c r="B119" s="32" t="s">
        <v>255</v>
      </c>
      <c r="C119" s="0"/>
      <c r="D119" s="33" t="s">
        <v>256</v>
      </c>
      <c r="E119" s="34" t="n">
        <f aca="false">ABS(-0.00000008)</f>
        <v>8E-008</v>
      </c>
    </row>
    <row r="120" customFormat="false" ht="15" hidden="false" customHeight="false" outlineLevel="0" collapsed="false">
      <c r="B120" s="32" t="s">
        <v>257</v>
      </c>
      <c r="C120" s="0"/>
      <c r="D120" s="33" t="s">
        <v>258</v>
      </c>
      <c r="E120" s="34" t="n">
        <f aca="false">ABS(-0.00000007)</f>
        <v>7E-008</v>
      </c>
    </row>
    <row r="121" customFormat="false" ht="15" hidden="false" customHeight="false" outlineLevel="0" collapsed="false">
      <c r="B121" s="32" t="s">
        <v>259</v>
      </c>
      <c r="C121" s="0"/>
      <c r="D121" s="33" t="s">
        <v>260</v>
      </c>
      <c r="E121" s="34" t="n">
        <f aca="false">ABS(0.00000001)</f>
        <v>1E-008</v>
      </c>
    </row>
    <row r="122" customFormat="false" ht="15" hidden="false" customHeight="false" outlineLevel="0" collapsed="false">
      <c r="B122" s="32" t="s">
        <v>261</v>
      </c>
      <c r="C122" s="0"/>
      <c r="D122" s="33" t="s">
        <v>262</v>
      </c>
      <c r="E122" s="34" t="n">
        <f aca="false">ABS(-0.00000005)</f>
        <v>5E-008</v>
      </c>
    </row>
    <row r="123" customFormat="false" ht="15" hidden="false" customHeight="false" outlineLevel="0" collapsed="false">
      <c r="B123" s="32" t="s">
        <v>263</v>
      </c>
      <c r="C123" s="0"/>
      <c r="D123" s="33" t="s">
        <v>264</v>
      </c>
      <c r="E123" s="34" t="n">
        <f aca="false">ABS(0.00000003)</f>
        <v>3E-008</v>
      </c>
    </row>
    <row r="124" customFormat="false" ht="15" hidden="false" customHeight="false" outlineLevel="0" collapsed="false">
      <c r="B124" s="32" t="s">
        <v>265</v>
      </c>
      <c r="C124" s="0"/>
      <c r="D124" s="33" t="s">
        <v>266</v>
      </c>
      <c r="E124" s="34" t="n">
        <f aca="false">ABS(-0.00000002)</f>
        <v>2E-008</v>
      </c>
    </row>
    <row r="125" customFormat="false" ht="15" hidden="false" customHeight="false" outlineLevel="0" collapsed="false">
      <c r="B125" s="32" t="s">
        <v>267</v>
      </c>
      <c r="C125" s="0"/>
      <c r="D125" s="33" t="s">
        <v>268</v>
      </c>
      <c r="E125" s="34" t="n">
        <f aca="false">ABS(0.00000003)</f>
        <v>3E-008</v>
      </c>
    </row>
    <row r="126" customFormat="false" ht="15" hidden="false" customHeight="false" outlineLevel="0" collapsed="false">
      <c r="B126" s="32" t="s">
        <v>269</v>
      </c>
      <c r="C126" s="0"/>
      <c r="D126" s="33" t="s">
        <v>270</v>
      </c>
      <c r="E126" s="34" t="n">
        <f aca="false">ABS(0)</f>
        <v>0</v>
      </c>
    </row>
    <row r="127" customFormat="false" ht="15" hidden="false" customHeight="false" outlineLevel="0" collapsed="false">
      <c r="B127" s="32" t="s">
        <v>271</v>
      </c>
      <c r="C127" s="0"/>
      <c r="D127" s="33" t="s">
        <v>272</v>
      </c>
      <c r="E127" s="34" t="n">
        <f aca="false">ABS(0)</f>
        <v>0</v>
      </c>
    </row>
    <row r="128" customFormat="false" ht="15" hidden="false" customHeight="false" outlineLevel="0" collapsed="false">
      <c r="B128" s="32" t="s">
        <v>273</v>
      </c>
      <c r="C128" s="0"/>
      <c r="D128" s="33" t="s">
        <v>274</v>
      </c>
      <c r="E128" s="34" t="n">
        <f aca="false">ABS(0)</f>
        <v>0</v>
      </c>
    </row>
    <row r="129" customFormat="false" ht="15" hidden="false" customHeight="false" outlineLevel="0" collapsed="false">
      <c r="B129" s="32" t="s">
        <v>275</v>
      </c>
      <c r="C129" s="0"/>
      <c r="D129" s="33" t="s">
        <v>276</v>
      </c>
      <c r="E129" s="34" t="n">
        <f aca="false">ABS(0.00000007)</f>
        <v>7E-008</v>
      </c>
    </row>
    <row r="130" customFormat="false" ht="15" hidden="false" customHeight="false" outlineLevel="0" collapsed="false">
      <c r="B130" s="32" t="s">
        <v>277</v>
      </c>
      <c r="C130" s="0"/>
      <c r="D130" s="33" t="s">
        <v>278</v>
      </c>
      <c r="E130" s="34" t="n">
        <f aca="false">ABS(-0.00014837)</f>
        <v>0.00014837</v>
      </c>
    </row>
    <row r="131" customFormat="false" ht="15" hidden="false" customHeight="false" outlineLevel="0" collapsed="false">
      <c r="B131" s="32" t="s">
        <v>279</v>
      </c>
      <c r="C131" s="0"/>
      <c r="D131" s="33" t="s">
        <v>280</v>
      </c>
      <c r="E131" s="34" t="n">
        <f aca="false">ABS(-0.00090803)</f>
        <v>0.00090803</v>
      </c>
    </row>
    <row r="132" customFormat="false" ht="15" hidden="false" customHeight="false" outlineLevel="0" collapsed="false">
      <c r="B132" s="32" t="s">
        <v>281</v>
      </c>
      <c r="C132" s="0"/>
      <c r="D132" s="33" t="s">
        <v>282</v>
      </c>
      <c r="E132" s="34" t="n">
        <f aca="false">ABS(-0.00000069)</f>
        <v>6.9E-007</v>
      </c>
    </row>
    <row r="133" customFormat="false" ht="15" hidden="false" customHeight="false" outlineLevel="0" collapsed="false">
      <c r="B133" s="32" t="s">
        <v>283</v>
      </c>
      <c r="C133" s="0"/>
      <c r="D133" s="33" t="s">
        <v>284</v>
      </c>
      <c r="E133" s="34" t="n">
        <f aca="false">ABS(0.00011709)</f>
        <v>0.00011709</v>
      </c>
    </row>
    <row r="134" customFormat="false" ht="15" hidden="false" customHeight="false" outlineLevel="0" collapsed="false">
      <c r="B134" s="32" t="s">
        <v>285</v>
      </c>
      <c r="C134" s="0"/>
      <c r="D134" s="33" t="s">
        <v>286</v>
      </c>
      <c r="E134" s="34" t="n">
        <f aca="false">ABS(0.00000886)</f>
        <v>8.86E-006</v>
      </c>
    </row>
    <row r="135" customFormat="false" ht="15" hidden="false" customHeight="false" outlineLevel="0" collapsed="false">
      <c r="B135" s="32" t="s">
        <v>287</v>
      </c>
      <c r="C135" s="0"/>
      <c r="D135" s="33" t="s">
        <v>288</v>
      </c>
      <c r="E135" s="34" t="n">
        <f aca="false">ABS(0.00000618)</f>
        <v>6.18E-006</v>
      </c>
    </row>
    <row r="136" customFormat="false" ht="15" hidden="false" customHeight="false" outlineLevel="0" collapsed="false">
      <c r="B136" s="32" t="s">
        <v>289</v>
      </c>
      <c r="C136" s="0"/>
      <c r="D136" s="33" t="s">
        <v>290</v>
      </c>
      <c r="E136" s="34" t="n">
        <f aca="false">ABS(-0.00000049)</f>
        <v>4.9E-007</v>
      </c>
    </row>
    <row r="137" customFormat="false" ht="15" hidden="false" customHeight="false" outlineLevel="0" collapsed="false">
      <c r="B137" s="32" t="s">
        <v>291</v>
      </c>
      <c r="C137" s="0"/>
      <c r="D137" s="33" t="s">
        <v>292</v>
      </c>
      <c r="E137" s="34" t="n">
        <f aca="false">ABS(-0.00148368)</f>
        <v>0.00148368</v>
      </c>
    </row>
    <row r="138" customFormat="false" ht="15" hidden="false" customHeight="false" outlineLevel="0" collapsed="false">
      <c r="B138" s="32" t="s">
        <v>293</v>
      </c>
      <c r="C138" s="0"/>
      <c r="D138" s="33" t="s">
        <v>294</v>
      </c>
      <c r="E138" s="34" t="n">
        <f aca="false">ABS(0.00000143)</f>
        <v>1.43E-006</v>
      </c>
    </row>
    <row r="139" customFormat="false" ht="15" hidden="false" customHeight="false" outlineLevel="0" collapsed="false">
      <c r="B139" s="32" t="s">
        <v>295</v>
      </c>
      <c r="C139" s="51"/>
      <c r="D139" s="33" t="s">
        <v>296</v>
      </c>
      <c r="E139" s="34" t="n">
        <f aca="false">ABS(0)</f>
        <v>0</v>
      </c>
    </row>
    <row r="140" customFormat="false" ht="15" hidden="false" customHeight="false" outlineLevel="0" collapsed="false">
      <c r="B140" s="52" t="s">
        <v>297</v>
      </c>
      <c r="D140" s="53" t="s">
        <v>298</v>
      </c>
      <c r="E140" s="54" t="n">
        <f aca="false">ABS(0.00008858)</f>
        <v>8.858E-005</v>
      </c>
    </row>
  </sheetData>
  <mergeCells count="8">
    <mergeCell ref="A1:R2"/>
    <mergeCell ref="G4:H4"/>
    <mergeCell ref="K4:L4"/>
    <mergeCell ref="D5:E5"/>
    <mergeCell ref="G9:H9"/>
    <mergeCell ref="K9:L9"/>
    <mergeCell ref="G15:H15"/>
    <mergeCell ref="K16:L1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P140"/>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L5" activeCellId="0" sqref="L5"/>
    </sheetView>
  </sheetViews>
  <sheetFormatPr defaultRowHeight="15"/>
  <cols>
    <col collapsed="false" hidden="false" max="1" min="1" style="0" width="2.83673469387755"/>
    <col collapsed="false" hidden="false" max="2" min="2" style="0" width="62.9081632653061"/>
    <col collapsed="false" hidden="false" max="3" min="3" style="15" width="5.39795918367347"/>
    <col collapsed="false" hidden="false" max="4" min="4" style="16" width="4.99489795918367"/>
    <col collapsed="false" hidden="false" max="5" min="5" style="16" width="17.4132653061224"/>
    <col collapsed="false" hidden="false" max="6" min="6" style="15" width="9.71938775510204"/>
    <col collapsed="false" hidden="false" max="8" min="7" style="15" width="13.9030612244898"/>
    <col collapsed="false" hidden="false" max="9" min="9" style="15" width="7.4234693877551"/>
    <col collapsed="false" hidden="false" max="10" min="10" style="15" width="6.88265306122449"/>
    <col collapsed="false" hidden="false" max="12" min="11" style="15" width="13.9030612244898"/>
    <col collapsed="false" hidden="false" max="14" min="13" style="15" width="11.2040816326531"/>
    <col collapsed="false" hidden="false" max="1025" min="15" style="0" width="10.530612244898"/>
  </cols>
  <sheetData>
    <row r="1" customFormat="false" ht="15.75" hidden="false" customHeight="true" outlineLevel="0" collapsed="false">
      <c r="A1" s="17" t="s">
        <v>299</v>
      </c>
      <c r="B1" s="17"/>
      <c r="C1" s="17"/>
      <c r="D1" s="17"/>
      <c r="E1" s="17"/>
      <c r="F1" s="17"/>
      <c r="G1" s="17"/>
      <c r="H1" s="17"/>
      <c r="I1" s="17"/>
      <c r="J1" s="17"/>
      <c r="K1" s="17"/>
      <c r="L1" s="17"/>
      <c r="M1" s="17"/>
      <c r="N1" s="17"/>
      <c r="O1" s="17"/>
      <c r="P1" s="17"/>
    </row>
    <row r="2" customFormat="false" ht="15" hidden="false" customHeight="true" outlineLevel="0" collapsed="false">
      <c r="A2" s="17"/>
      <c r="B2" s="17"/>
      <c r="C2" s="17"/>
      <c r="D2" s="17"/>
      <c r="E2" s="17"/>
      <c r="F2" s="17"/>
      <c r="G2" s="17"/>
      <c r="H2" s="17"/>
      <c r="I2" s="17"/>
      <c r="J2" s="17"/>
      <c r="K2" s="17"/>
      <c r="L2" s="17"/>
      <c r="M2" s="17"/>
      <c r="N2" s="17"/>
      <c r="O2" s="17"/>
      <c r="P2" s="17"/>
    </row>
    <row r="3" customFormat="false" ht="15" hidden="false" customHeight="false" outlineLevel="0" collapsed="false">
      <c r="C3" s="0"/>
      <c r="D3" s="0"/>
      <c r="E3" s="0"/>
      <c r="G3" s="18"/>
      <c r="H3" s="18"/>
      <c r="I3" s="18"/>
      <c r="J3" s="18"/>
      <c r="K3" s="18"/>
      <c r="L3" s="18"/>
    </row>
    <row r="4" customFormat="false" ht="32.25" hidden="false" customHeight="true" outlineLevel="0" collapsed="false">
      <c r="C4" s="0"/>
      <c r="D4" s="0"/>
      <c r="E4" s="0"/>
      <c r="G4" s="19" t="s">
        <v>15</v>
      </c>
      <c r="H4" s="19"/>
      <c r="I4" s="18"/>
      <c r="J4" s="18"/>
      <c r="K4" s="19" t="s">
        <v>16</v>
      </c>
      <c r="L4" s="19"/>
    </row>
    <row r="5" customFormat="false" ht="21.75" hidden="false" customHeight="true" outlineLevel="0" collapsed="false">
      <c r="B5" s="20" t="s">
        <v>17</v>
      </c>
      <c r="C5" s="0"/>
      <c r="D5" s="21" t="s">
        <v>18</v>
      </c>
      <c r="E5" s="21"/>
      <c r="G5" s="22" t="s">
        <v>19</v>
      </c>
      <c r="H5" s="23" t="n">
        <v>0.001</v>
      </c>
      <c r="I5" s="24"/>
      <c r="J5" s="25"/>
      <c r="K5" s="26" t="s">
        <v>20</v>
      </c>
      <c r="L5" s="23" t="n">
        <v>0.01</v>
      </c>
    </row>
    <row r="6" customFormat="false" ht="16.5" hidden="false" customHeight="true" outlineLevel="0" collapsed="false">
      <c r="B6" s="27" t="s">
        <v>21</v>
      </c>
      <c r="C6" s="0"/>
      <c r="D6" s="28" t="s">
        <v>22</v>
      </c>
      <c r="E6" s="55" t="n">
        <v>0</v>
      </c>
      <c r="G6" s="18"/>
      <c r="H6" s="18"/>
      <c r="I6" s="18"/>
      <c r="J6" s="18"/>
      <c r="K6" s="30"/>
      <c r="L6" s="31"/>
    </row>
    <row r="7" customFormat="false" ht="15" hidden="false" customHeight="false" outlineLevel="0" collapsed="false">
      <c r="B7" s="32" t="s">
        <v>23</v>
      </c>
      <c r="C7" s="0"/>
      <c r="D7" s="33" t="s">
        <v>24</v>
      </c>
      <c r="E7" s="56" t="n">
        <v>0</v>
      </c>
      <c r="G7" s="18"/>
      <c r="H7" s="18"/>
      <c r="I7" s="18"/>
      <c r="J7" s="18"/>
      <c r="K7" s="18"/>
      <c r="L7" s="18"/>
    </row>
    <row r="8" customFormat="false" ht="15" hidden="false" customHeight="false" outlineLevel="0" collapsed="false">
      <c r="B8" s="32" t="s">
        <v>25</v>
      </c>
      <c r="C8" s="0"/>
      <c r="D8" s="33" t="s">
        <v>26</v>
      </c>
      <c r="E8" s="56" t="n">
        <v>0</v>
      </c>
      <c r="G8" s="18"/>
      <c r="H8" s="18"/>
      <c r="I8" s="18"/>
      <c r="J8" s="18"/>
      <c r="K8" s="18"/>
      <c r="L8" s="18"/>
    </row>
    <row r="9" customFormat="false" ht="15.75" hidden="false" customHeight="false" outlineLevel="0" collapsed="false">
      <c r="B9" s="32" t="s">
        <v>27</v>
      </c>
      <c r="C9" s="0"/>
      <c r="D9" s="33" t="s">
        <v>28</v>
      </c>
      <c r="E9" s="56" t="n">
        <v>0</v>
      </c>
      <c r="G9" s="35" t="s">
        <v>29</v>
      </c>
      <c r="H9" s="35"/>
      <c r="I9" s="36"/>
      <c r="J9" s="18"/>
      <c r="K9" s="37" t="s">
        <v>30</v>
      </c>
      <c r="L9" s="37"/>
    </row>
    <row r="10" customFormat="false" ht="15.75" hidden="false" customHeight="false" outlineLevel="0" collapsed="false">
      <c r="B10" s="32" t="s">
        <v>31</v>
      </c>
      <c r="C10" s="0"/>
      <c r="D10" s="33" t="s">
        <v>32</v>
      </c>
      <c r="E10" s="56" t="n">
        <v>0</v>
      </c>
      <c r="G10" s="38" t="s">
        <v>33</v>
      </c>
      <c r="H10" s="39" t="n">
        <f aca="false">SUM(E7:E140)</f>
        <v>6.40665912</v>
      </c>
      <c r="I10" s="40"/>
      <c r="J10" s="18"/>
      <c r="K10" s="41" t="s">
        <v>34</v>
      </c>
      <c r="L10" s="42" t="n">
        <f aca="false">$L$5*(E57+E63+E65+E68+E70+E74+E75+E80+E81+E82+E85+E86+E87+E90+E91+E95+E96+E97+E99+E100+E101)</f>
        <v>0.0016199187</v>
      </c>
    </row>
    <row r="11" customFormat="false" ht="21.75" hidden="false" customHeight="true" outlineLevel="0" collapsed="false">
      <c r="B11" s="32" t="s">
        <v>35</v>
      </c>
      <c r="C11" s="0"/>
      <c r="D11" s="33" t="s">
        <v>36</v>
      </c>
      <c r="E11" s="56" t="n">
        <v>0</v>
      </c>
      <c r="G11" s="0"/>
      <c r="H11" s="0"/>
      <c r="I11" s="40"/>
      <c r="J11" s="18"/>
      <c r="K11" s="0"/>
      <c r="L11" s="0"/>
    </row>
    <row r="12" customFormat="false" ht="15.75" hidden="false" customHeight="false" outlineLevel="0" collapsed="false">
      <c r="B12" s="32" t="s">
        <v>37</v>
      </c>
      <c r="C12" s="0"/>
      <c r="D12" s="33" t="s">
        <v>38</v>
      </c>
      <c r="E12" s="56" t="n">
        <v>0</v>
      </c>
      <c r="G12" s="40"/>
      <c r="H12" s="40"/>
      <c r="I12" s="40"/>
      <c r="J12" s="18"/>
      <c r="K12" s="40"/>
      <c r="L12" s="40"/>
    </row>
    <row r="13" customFormat="false" ht="15" hidden="false" customHeight="false" outlineLevel="0" collapsed="false">
      <c r="B13" s="32" t="s">
        <v>39</v>
      </c>
      <c r="C13" s="0"/>
      <c r="D13" s="33" t="s">
        <v>40</v>
      </c>
      <c r="E13" s="56" t="n">
        <v>0</v>
      </c>
      <c r="G13" s="18"/>
      <c r="H13" s="18"/>
      <c r="I13" s="18"/>
      <c r="J13" s="18"/>
      <c r="K13" s="18"/>
      <c r="L13" s="18"/>
    </row>
    <row r="14" customFormat="false" ht="15" hidden="false" customHeight="false" outlineLevel="0" collapsed="false">
      <c r="B14" s="32" t="s">
        <v>41</v>
      </c>
      <c r="C14" s="0"/>
      <c r="D14" s="33" t="s">
        <v>42</v>
      </c>
      <c r="E14" s="56" t="n">
        <v>0</v>
      </c>
      <c r="G14" s="18"/>
      <c r="H14" s="18"/>
      <c r="I14" s="18"/>
      <c r="J14" s="18"/>
      <c r="K14" s="0"/>
      <c r="L14" s="0"/>
    </row>
    <row r="15" customFormat="false" ht="32.25" hidden="false" customHeight="true" outlineLevel="0" collapsed="false">
      <c r="B15" s="32" t="s">
        <v>43</v>
      </c>
      <c r="C15" s="0"/>
      <c r="D15" s="33" t="s">
        <v>44</v>
      </c>
      <c r="E15" s="56" t="n">
        <v>0</v>
      </c>
      <c r="G15" s="43" t="s">
        <v>45</v>
      </c>
      <c r="H15" s="43"/>
      <c r="I15" s="0"/>
      <c r="J15" s="0"/>
      <c r="K15" s="0"/>
      <c r="L15" s="0"/>
    </row>
    <row r="16" customFormat="false" ht="20.25" hidden="false" customHeight="true" outlineLevel="0" collapsed="false">
      <c r="B16" s="32" t="s">
        <v>46</v>
      </c>
      <c r="C16" s="0"/>
      <c r="D16" s="33" t="s">
        <v>47</v>
      </c>
      <c r="E16" s="56" t="n">
        <v>0</v>
      </c>
      <c r="G16" s="44" t="s">
        <v>48</v>
      </c>
      <c r="H16" s="42" t="n">
        <f aca="false">SUM(E54:E101)</f>
        <v>0.16361179</v>
      </c>
      <c r="I16" s="18"/>
      <c r="J16" s="18"/>
      <c r="K16" s="45" t="s">
        <v>49</v>
      </c>
      <c r="L16" s="45"/>
    </row>
    <row r="17" customFormat="false" ht="18.75" hidden="false" customHeight="true" outlineLevel="0" collapsed="false">
      <c r="B17" s="32" t="s">
        <v>50</v>
      </c>
      <c r="C17" s="0"/>
      <c r="D17" s="33" t="s">
        <v>51</v>
      </c>
      <c r="E17" s="56" t="n">
        <v>0</v>
      </c>
      <c r="I17" s="18"/>
      <c r="J17" s="18"/>
      <c r="K17" s="46" t="s">
        <v>52</v>
      </c>
      <c r="L17" s="42" t="n">
        <f aca="false">($H$16/$L$10)-(1/$L$5)</f>
        <v>1.0000008025094</v>
      </c>
    </row>
    <row r="18" customFormat="false" ht="24" hidden="false" customHeight="true" outlineLevel="0" collapsed="false">
      <c r="B18" s="32" t="s">
        <v>53</v>
      </c>
      <c r="C18" s="0"/>
      <c r="D18" s="33" t="s">
        <v>54</v>
      </c>
      <c r="E18" s="56" t="n">
        <v>0</v>
      </c>
      <c r="I18" s="18"/>
      <c r="J18" s="18"/>
      <c r="K18" s="0"/>
      <c r="L18" s="0"/>
    </row>
    <row r="19" customFormat="false" ht="24" hidden="false" customHeight="true" outlineLevel="0" collapsed="false">
      <c r="B19" s="32" t="s">
        <v>55</v>
      </c>
      <c r="C19" s="0"/>
      <c r="D19" s="33" t="s">
        <v>56</v>
      </c>
      <c r="E19" s="56" t="n">
        <v>0</v>
      </c>
      <c r="K19" s="0"/>
      <c r="L19" s="0"/>
    </row>
    <row r="20" customFormat="false" ht="15.75" hidden="false" customHeight="true" outlineLevel="0" collapsed="false">
      <c r="B20" s="32" t="s">
        <v>57</v>
      </c>
      <c r="C20" s="0"/>
      <c r="D20" s="33" t="s">
        <v>58</v>
      </c>
      <c r="E20" s="56" t="n">
        <v>0</v>
      </c>
      <c r="K20" s="0"/>
      <c r="L20" s="0"/>
    </row>
    <row r="21" customFormat="false" ht="15.75" hidden="false" customHeight="true" outlineLevel="0" collapsed="false">
      <c r="B21" s="32" t="s">
        <v>59</v>
      </c>
      <c r="C21" s="0"/>
      <c r="D21" s="33" t="s">
        <v>60</v>
      </c>
      <c r="E21" s="56" t="n">
        <v>0</v>
      </c>
      <c r="K21" s="47"/>
      <c r="L21" s="47"/>
    </row>
    <row r="22" customFormat="false" ht="15.75" hidden="false" customHeight="false" outlineLevel="0" collapsed="false">
      <c r="B22" s="32" t="s">
        <v>61</v>
      </c>
      <c r="C22" s="0"/>
      <c r="D22" s="33" t="s">
        <v>62</v>
      </c>
      <c r="E22" s="56" t="n">
        <v>0</v>
      </c>
      <c r="K22" s="48"/>
      <c r="L22" s="48"/>
    </row>
    <row r="23" customFormat="false" ht="15.75" hidden="false" customHeight="false" outlineLevel="0" collapsed="false">
      <c r="B23" s="32" t="s">
        <v>63</v>
      </c>
      <c r="C23" s="0"/>
      <c r="D23" s="33" t="s">
        <v>64</v>
      </c>
      <c r="E23" s="56" t="n">
        <v>0</v>
      </c>
      <c r="K23" s="49"/>
      <c r="L23" s="47"/>
    </row>
    <row r="24" customFormat="false" ht="15" hidden="false" customHeight="false" outlineLevel="0" collapsed="false">
      <c r="B24" s="32" t="s">
        <v>65</v>
      </c>
      <c r="C24" s="0"/>
      <c r="D24" s="33" t="s">
        <v>66</v>
      </c>
      <c r="E24" s="56" t="n">
        <v>0.03238795</v>
      </c>
      <c r="K24" s="50"/>
      <c r="L24" s="50"/>
    </row>
    <row r="25" customFormat="false" ht="15" hidden="false" customHeight="false" outlineLevel="0" collapsed="false">
      <c r="B25" s="32" t="s">
        <v>67</v>
      </c>
      <c r="C25" s="0"/>
      <c r="D25" s="33" t="s">
        <v>68</v>
      </c>
      <c r="E25" s="56" t="n">
        <v>0</v>
      </c>
      <c r="K25" s="50"/>
      <c r="L25" s="50"/>
    </row>
    <row r="26" customFormat="false" ht="15" hidden="false" customHeight="false" outlineLevel="0" collapsed="false">
      <c r="B26" s="32" t="s">
        <v>69</v>
      </c>
      <c r="C26" s="0"/>
      <c r="D26" s="33" t="s">
        <v>70</v>
      </c>
      <c r="E26" s="56" t="n">
        <v>0</v>
      </c>
      <c r="K26" s="50"/>
      <c r="L26" s="50"/>
    </row>
    <row r="27" customFormat="false" ht="15" hidden="false" customHeight="false" outlineLevel="0" collapsed="false">
      <c r="B27" s="32" t="s">
        <v>71</v>
      </c>
      <c r="C27" s="0"/>
      <c r="D27" s="33" t="s">
        <v>72</v>
      </c>
      <c r="E27" s="56" t="n">
        <v>0</v>
      </c>
    </row>
    <row r="28" customFormat="false" ht="15" hidden="false" customHeight="false" outlineLevel="0" collapsed="false">
      <c r="B28" s="32" t="s">
        <v>73</v>
      </c>
      <c r="C28" s="0"/>
      <c r="D28" s="33" t="s">
        <v>74</v>
      </c>
      <c r="E28" s="56" t="n">
        <f aca="false">ABS(-2.69899586)</f>
        <v>2.69899586</v>
      </c>
    </row>
    <row r="29" customFormat="false" ht="15" hidden="false" customHeight="false" outlineLevel="0" collapsed="false">
      <c r="B29" s="32" t="s">
        <v>75</v>
      </c>
      <c r="C29" s="0"/>
      <c r="D29" s="33" t="s">
        <v>76</v>
      </c>
      <c r="E29" s="56" t="n">
        <v>0</v>
      </c>
    </row>
    <row r="30" customFormat="false" ht="15" hidden="false" customHeight="false" outlineLevel="0" collapsed="false">
      <c r="B30" s="32" t="s">
        <v>77</v>
      </c>
      <c r="C30" s="0"/>
      <c r="D30" s="33" t="s">
        <v>78</v>
      </c>
      <c r="E30" s="56" t="n">
        <v>0.002699</v>
      </c>
    </row>
    <row r="31" customFormat="false" ht="15" hidden="false" customHeight="false" outlineLevel="0" collapsed="false">
      <c r="B31" s="32" t="s">
        <v>79</v>
      </c>
      <c r="C31" s="0"/>
      <c r="D31" s="33" t="s">
        <v>80</v>
      </c>
      <c r="E31" s="56" t="n">
        <v>0</v>
      </c>
    </row>
    <row r="32" customFormat="false" ht="15" hidden="false" customHeight="false" outlineLevel="0" collapsed="false">
      <c r="B32" s="32" t="s">
        <v>81</v>
      </c>
      <c r="C32" s="0"/>
      <c r="D32" s="33" t="s">
        <v>82</v>
      </c>
      <c r="E32" s="56" t="n">
        <v>0</v>
      </c>
    </row>
    <row r="33" customFormat="false" ht="15" hidden="false" customHeight="false" outlineLevel="0" collapsed="false">
      <c r="B33" s="32" t="s">
        <v>83</v>
      </c>
      <c r="C33" s="0"/>
      <c r="D33" s="33" t="s">
        <v>84</v>
      </c>
      <c r="E33" s="56" t="n">
        <v>0</v>
      </c>
    </row>
    <row r="34" customFormat="false" ht="15" hidden="false" customHeight="false" outlineLevel="0" collapsed="false">
      <c r="B34" s="32" t="s">
        <v>85</v>
      </c>
      <c r="C34" s="0"/>
      <c r="D34" s="33" t="s">
        <v>86</v>
      </c>
      <c r="E34" s="56" t="n">
        <v>0</v>
      </c>
    </row>
    <row r="35" customFormat="false" ht="15" hidden="false" customHeight="false" outlineLevel="0" collapsed="false">
      <c r="B35" s="32" t="s">
        <v>87</v>
      </c>
      <c r="C35" s="0"/>
      <c r="D35" s="33" t="s">
        <v>88</v>
      </c>
      <c r="E35" s="56" t="n">
        <v>0</v>
      </c>
    </row>
    <row r="36" customFormat="false" ht="15" hidden="false" customHeight="false" outlineLevel="0" collapsed="false">
      <c r="B36" s="32" t="s">
        <v>89</v>
      </c>
      <c r="C36" s="0"/>
      <c r="D36" s="33" t="s">
        <v>90</v>
      </c>
      <c r="E36" s="56" t="n">
        <v>0</v>
      </c>
    </row>
    <row r="37" customFormat="false" ht="15" hidden="false" customHeight="false" outlineLevel="0" collapsed="false">
      <c r="B37" s="32" t="s">
        <v>91</v>
      </c>
      <c r="C37" s="0"/>
      <c r="D37" s="33" t="s">
        <v>92</v>
      </c>
      <c r="E37" s="56" t="n">
        <v>0</v>
      </c>
    </row>
    <row r="38" customFormat="false" ht="15" hidden="false" customHeight="false" outlineLevel="0" collapsed="false">
      <c r="B38" s="32" t="s">
        <v>93</v>
      </c>
      <c r="C38" s="0"/>
      <c r="D38" s="33" t="s">
        <v>94</v>
      </c>
      <c r="E38" s="56" t="n">
        <v>0</v>
      </c>
    </row>
    <row r="39" customFormat="false" ht="15" hidden="false" customHeight="false" outlineLevel="0" collapsed="false">
      <c r="B39" s="32" t="s">
        <v>95</v>
      </c>
      <c r="C39" s="0"/>
      <c r="D39" s="33" t="s">
        <v>96</v>
      </c>
      <c r="E39" s="56" t="n">
        <v>0</v>
      </c>
    </row>
    <row r="40" customFormat="false" ht="15" hidden="false" customHeight="false" outlineLevel="0" collapsed="false">
      <c r="B40" s="32" t="s">
        <v>97</v>
      </c>
      <c r="C40" s="0"/>
      <c r="D40" s="33" t="s">
        <v>98</v>
      </c>
      <c r="E40" s="56" t="n">
        <v>0</v>
      </c>
    </row>
    <row r="41" customFormat="false" ht="15" hidden="false" customHeight="false" outlineLevel="0" collapsed="false">
      <c r="B41" s="32" t="s">
        <v>99</v>
      </c>
      <c r="C41" s="0"/>
      <c r="D41" s="33" t="s">
        <v>100</v>
      </c>
      <c r="E41" s="56" t="n">
        <v>0</v>
      </c>
    </row>
    <row r="42" customFormat="false" ht="15" hidden="false" customHeight="false" outlineLevel="0" collapsed="false">
      <c r="B42" s="32" t="s">
        <v>101</v>
      </c>
      <c r="C42" s="0"/>
      <c r="D42" s="33" t="s">
        <v>102</v>
      </c>
      <c r="E42" s="56" t="n">
        <v>0</v>
      </c>
    </row>
    <row r="43" customFormat="false" ht="15" hidden="false" customHeight="false" outlineLevel="0" collapsed="false">
      <c r="B43" s="32" t="s">
        <v>103</v>
      </c>
      <c r="C43" s="0"/>
      <c r="D43" s="33" t="s">
        <v>104</v>
      </c>
      <c r="E43" s="56" t="n">
        <v>3.23879503</v>
      </c>
    </row>
    <row r="44" customFormat="false" ht="15" hidden="false" customHeight="false" outlineLevel="0" collapsed="false">
      <c r="B44" s="32" t="s">
        <v>105</v>
      </c>
      <c r="C44" s="0"/>
      <c r="D44" s="33" t="s">
        <v>106</v>
      </c>
      <c r="E44" s="56" t="n">
        <v>0</v>
      </c>
    </row>
    <row r="45" customFormat="false" ht="15" hidden="false" customHeight="false" outlineLevel="0" collapsed="false">
      <c r="B45" s="32" t="s">
        <v>107</v>
      </c>
      <c r="C45" s="0"/>
      <c r="D45" s="33" t="s">
        <v>108</v>
      </c>
      <c r="E45" s="56" t="n">
        <v>0</v>
      </c>
    </row>
    <row r="46" customFormat="false" ht="15" hidden="false" customHeight="false" outlineLevel="0" collapsed="false">
      <c r="B46" s="32" t="s">
        <v>109</v>
      </c>
      <c r="C46" s="0"/>
      <c r="D46" s="33" t="s">
        <v>110</v>
      </c>
      <c r="E46" s="56" t="n">
        <v>0</v>
      </c>
    </row>
    <row r="47" customFormat="false" ht="15" hidden="false" customHeight="false" outlineLevel="0" collapsed="false">
      <c r="B47" s="32" t="s">
        <v>111</v>
      </c>
      <c r="C47" s="0"/>
      <c r="D47" s="33" t="s">
        <v>112</v>
      </c>
      <c r="E47" s="56" t="n">
        <v>0</v>
      </c>
    </row>
    <row r="48" customFormat="false" ht="15" hidden="false" customHeight="false" outlineLevel="0" collapsed="false">
      <c r="B48" s="32" t="s">
        <v>113</v>
      </c>
      <c r="C48" s="0"/>
      <c r="D48" s="33" t="s">
        <v>114</v>
      </c>
      <c r="E48" s="56" t="n">
        <v>0.26989959</v>
      </c>
    </row>
    <row r="49" customFormat="false" ht="15" hidden="false" customHeight="false" outlineLevel="0" collapsed="false">
      <c r="B49" s="32" t="s">
        <v>115</v>
      </c>
      <c r="C49" s="0"/>
      <c r="D49" s="33" t="s">
        <v>116</v>
      </c>
      <c r="E49" s="56" t="n">
        <v>0</v>
      </c>
    </row>
    <row r="50" customFormat="false" ht="15" hidden="false" customHeight="false" outlineLevel="0" collapsed="false">
      <c r="B50" s="32" t="s">
        <v>117</v>
      </c>
      <c r="C50" s="0"/>
      <c r="D50" s="33" t="s">
        <v>118</v>
      </c>
      <c r="E50" s="56" t="n">
        <f aca="false">ABS(-0.0002699)</f>
        <v>0.0002699</v>
      </c>
    </row>
    <row r="51" customFormat="false" ht="15" hidden="false" customHeight="false" outlineLevel="0" collapsed="false">
      <c r="B51" s="32" t="s">
        <v>119</v>
      </c>
      <c r="C51" s="0"/>
      <c r="D51" s="33" t="s">
        <v>120</v>
      </c>
      <c r="E51" s="56" t="n">
        <v>0</v>
      </c>
    </row>
    <row r="52" customFormat="false" ht="15" hidden="false" customHeight="false" outlineLevel="0" collapsed="false">
      <c r="B52" s="32" t="s">
        <v>121</v>
      </c>
      <c r="C52" s="0"/>
      <c r="D52" s="33" t="s">
        <v>122</v>
      </c>
      <c r="E52" s="56" t="n">
        <v>0</v>
      </c>
    </row>
    <row r="53" customFormat="false" ht="15" hidden="false" customHeight="false" outlineLevel="0" collapsed="false">
      <c r="B53" s="32" t="s">
        <v>123</v>
      </c>
      <c r="C53" s="0"/>
      <c r="D53" s="33" t="s">
        <v>124</v>
      </c>
      <c r="E53" s="56" t="n">
        <v>0</v>
      </c>
    </row>
    <row r="54" customFormat="false" ht="15" hidden="false" customHeight="false" outlineLevel="0" collapsed="false">
      <c r="B54" s="32" t="s">
        <v>125</v>
      </c>
      <c r="C54" s="0"/>
      <c r="D54" s="33" t="s">
        <v>126</v>
      </c>
      <c r="E54" s="56" t="n">
        <v>0</v>
      </c>
    </row>
    <row r="55" customFormat="false" ht="15" hidden="false" customHeight="false" outlineLevel="0" collapsed="false">
      <c r="B55" s="32" t="s">
        <v>127</v>
      </c>
      <c r="C55" s="0"/>
      <c r="D55" s="33" t="s">
        <v>128</v>
      </c>
      <c r="E55" s="56" t="n">
        <v>0</v>
      </c>
    </row>
    <row r="56" customFormat="false" ht="15" hidden="false" customHeight="false" outlineLevel="0" collapsed="false">
      <c r="B56" s="32" t="s">
        <v>129</v>
      </c>
      <c r="C56" s="0"/>
      <c r="D56" s="33" t="s">
        <v>130</v>
      </c>
      <c r="E56" s="56" t="n">
        <v>0</v>
      </c>
    </row>
    <row r="57" customFormat="false" ht="15" hidden="false" customHeight="false" outlineLevel="0" collapsed="false">
      <c r="B57" s="32" t="s">
        <v>131</v>
      </c>
      <c r="C57" s="0"/>
      <c r="D57" s="33" t="s">
        <v>132</v>
      </c>
      <c r="E57" s="56" t="n">
        <v>0</v>
      </c>
    </row>
    <row r="58" customFormat="false" ht="15" hidden="false" customHeight="false" outlineLevel="0" collapsed="false">
      <c r="B58" s="32" t="s">
        <v>133</v>
      </c>
      <c r="C58" s="0"/>
      <c r="D58" s="33" t="s">
        <v>134</v>
      </c>
      <c r="E58" s="56" t="n">
        <v>0</v>
      </c>
    </row>
    <row r="59" customFormat="false" ht="15" hidden="false" customHeight="false" outlineLevel="0" collapsed="false">
      <c r="B59" s="32" t="s">
        <v>135</v>
      </c>
      <c r="C59" s="0"/>
      <c r="D59" s="33" t="s">
        <v>136</v>
      </c>
      <c r="E59" s="56" t="n">
        <v>0</v>
      </c>
    </row>
    <row r="60" customFormat="false" ht="15" hidden="false" customHeight="false" outlineLevel="0" collapsed="false">
      <c r="B60" s="32" t="s">
        <v>137</v>
      </c>
      <c r="C60" s="0"/>
      <c r="D60" s="33" t="s">
        <v>138</v>
      </c>
      <c r="E60" s="56" t="n">
        <v>0</v>
      </c>
    </row>
    <row r="61" customFormat="false" ht="15" hidden="false" customHeight="false" outlineLevel="0" collapsed="false">
      <c r="B61" s="32" t="s">
        <v>139</v>
      </c>
      <c r="C61" s="0"/>
      <c r="D61" s="33" t="s">
        <v>140</v>
      </c>
      <c r="E61" s="56" t="n">
        <v>0</v>
      </c>
    </row>
    <row r="62" customFormat="false" ht="15" hidden="false" customHeight="false" outlineLevel="0" collapsed="false">
      <c r="B62" s="32" t="s">
        <v>141</v>
      </c>
      <c r="C62" s="0"/>
      <c r="D62" s="33" t="s">
        <v>142</v>
      </c>
      <c r="E62" s="56" t="n">
        <v>0</v>
      </c>
    </row>
    <row r="63" customFormat="false" ht="15" hidden="false" customHeight="false" outlineLevel="0" collapsed="false">
      <c r="B63" s="32" t="s">
        <v>143</v>
      </c>
      <c r="C63" s="0"/>
      <c r="D63" s="33" t="s">
        <v>144</v>
      </c>
      <c r="E63" s="56" t="n">
        <v>0</v>
      </c>
    </row>
    <row r="64" customFormat="false" ht="15" hidden="false" customHeight="false" outlineLevel="0" collapsed="false">
      <c r="B64" s="32" t="s">
        <v>145</v>
      </c>
      <c r="C64" s="0"/>
      <c r="D64" s="33" t="s">
        <v>146</v>
      </c>
      <c r="E64" s="56" t="n">
        <v>0</v>
      </c>
    </row>
    <row r="65" customFormat="false" ht="15" hidden="false" customHeight="false" outlineLevel="0" collapsed="false">
      <c r="B65" s="32" t="s">
        <v>147</v>
      </c>
      <c r="C65" s="0"/>
      <c r="D65" s="33" t="s">
        <v>148</v>
      </c>
      <c r="E65" s="56" t="n">
        <v>0</v>
      </c>
    </row>
    <row r="66" customFormat="false" ht="15" hidden="false" customHeight="false" outlineLevel="0" collapsed="false">
      <c r="B66" s="32" t="s">
        <v>149</v>
      </c>
      <c r="C66" s="0"/>
      <c r="D66" s="33" t="s">
        <v>150</v>
      </c>
      <c r="E66" s="56" t="n">
        <v>0</v>
      </c>
    </row>
    <row r="67" customFormat="false" ht="15" hidden="false" customHeight="false" outlineLevel="0" collapsed="false">
      <c r="B67" s="32" t="s">
        <v>151</v>
      </c>
      <c r="C67" s="0"/>
      <c r="D67" s="33" t="s">
        <v>152</v>
      </c>
      <c r="E67" s="56" t="n">
        <v>0</v>
      </c>
    </row>
    <row r="68" customFormat="false" ht="15" hidden="false" customHeight="false" outlineLevel="0" collapsed="false">
      <c r="B68" s="32" t="s">
        <v>153</v>
      </c>
      <c r="C68" s="0"/>
      <c r="D68" s="33" t="s">
        <v>154</v>
      </c>
      <c r="E68" s="56" t="n">
        <v>0</v>
      </c>
    </row>
    <row r="69" customFormat="false" ht="15" hidden="false" customHeight="false" outlineLevel="0" collapsed="false">
      <c r="B69" s="32" t="s">
        <v>155</v>
      </c>
      <c r="C69" s="0"/>
      <c r="D69" s="33" t="s">
        <v>156</v>
      </c>
      <c r="E69" s="56" t="n">
        <v>0</v>
      </c>
    </row>
    <row r="70" customFormat="false" ht="15" hidden="false" customHeight="false" outlineLevel="0" collapsed="false">
      <c r="B70" s="32" t="s">
        <v>157</v>
      </c>
      <c r="C70" s="0"/>
      <c r="D70" s="33" t="s">
        <v>158</v>
      </c>
      <c r="E70" s="56" t="n">
        <v>0</v>
      </c>
    </row>
    <row r="71" customFormat="false" ht="15" hidden="false" customHeight="false" outlineLevel="0" collapsed="false">
      <c r="B71" s="32" t="s">
        <v>159</v>
      </c>
      <c r="C71" s="0"/>
      <c r="D71" s="33" t="s">
        <v>160</v>
      </c>
      <c r="E71" s="56" t="n">
        <v>0</v>
      </c>
    </row>
    <row r="72" customFormat="false" ht="15" hidden="false" customHeight="false" outlineLevel="0" collapsed="false">
      <c r="B72" s="32" t="s">
        <v>161</v>
      </c>
      <c r="C72" s="0"/>
      <c r="D72" s="33" t="s">
        <v>162</v>
      </c>
      <c r="E72" s="56" t="n">
        <f aca="false">ABS(-0.00161992)</f>
        <v>0.00161992</v>
      </c>
    </row>
    <row r="73" customFormat="false" ht="15" hidden="false" customHeight="false" outlineLevel="0" collapsed="false">
      <c r="B73" s="32" t="s">
        <v>163</v>
      </c>
      <c r="C73" s="0"/>
      <c r="D73" s="33" t="s">
        <v>164</v>
      </c>
      <c r="E73" s="56" t="n">
        <v>0</v>
      </c>
    </row>
    <row r="74" customFormat="false" ht="15" hidden="false" customHeight="false" outlineLevel="0" collapsed="false">
      <c r="B74" s="32" t="s">
        <v>165</v>
      </c>
      <c r="C74" s="0"/>
      <c r="D74" s="33" t="s">
        <v>166</v>
      </c>
      <c r="E74" s="56" t="n">
        <v>0</v>
      </c>
    </row>
    <row r="75" customFormat="false" ht="15" hidden="false" customHeight="false" outlineLevel="0" collapsed="false">
      <c r="B75" s="32" t="s">
        <v>167</v>
      </c>
      <c r="C75" s="0"/>
      <c r="D75" s="33" t="s">
        <v>168</v>
      </c>
      <c r="E75" s="56" t="n">
        <v>0</v>
      </c>
    </row>
    <row r="76" customFormat="false" ht="15" hidden="false" customHeight="false" outlineLevel="0" collapsed="false">
      <c r="B76" s="32" t="s">
        <v>169</v>
      </c>
      <c r="C76" s="0"/>
      <c r="D76" s="33" t="s">
        <v>170</v>
      </c>
      <c r="E76" s="56" t="n">
        <v>0</v>
      </c>
    </row>
    <row r="77" customFormat="false" ht="15" hidden="false" customHeight="false" outlineLevel="0" collapsed="false">
      <c r="B77" s="32" t="s">
        <v>171</v>
      </c>
      <c r="C77" s="0"/>
      <c r="D77" s="33" t="s">
        <v>172</v>
      </c>
      <c r="E77" s="56" t="n">
        <v>0</v>
      </c>
    </row>
    <row r="78" customFormat="false" ht="15" hidden="false" customHeight="false" outlineLevel="0" collapsed="false">
      <c r="B78" s="32" t="s">
        <v>173</v>
      </c>
      <c r="C78" s="0"/>
      <c r="D78" s="33" t="s">
        <v>174</v>
      </c>
      <c r="E78" s="56" t="n">
        <v>0</v>
      </c>
    </row>
    <row r="79" customFormat="false" ht="15" hidden="false" customHeight="false" outlineLevel="0" collapsed="false">
      <c r="B79" s="32" t="s">
        <v>175</v>
      </c>
      <c r="C79" s="0"/>
      <c r="D79" s="33" t="s">
        <v>176</v>
      </c>
      <c r="E79" s="56" t="n">
        <v>0</v>
      </c>
    </row>
    <row r="80" customFormat="false" ht="15" hidden="false" customHeight="false" outlineLevel="0" collapsed="false">
      <c r="B80" s="32" t="s">
        <v>177</v>
      </c>
      <c r="C80" s="0"/>
      <c r="D80" s="33" t="s">
        <v>178</v>
      </c>
      <c r="E80" s="56" t="n">
        <v>0</v>
      </c>
    </row>
    <row r="81" customFormat="false" ht="15" hidden="false" customHeight="false" outlineLevel="0" collapsed="false">
      <c r="B81" s="32" t="s">
        <v>179</v>
      </c>
      <c r="C81" s="0"/>
      <c r="D81" s="33" t="s">
        <v>180</v>
      </c>
      <c r="E81" s="56" t="n">
        <v>0</v>
      </c>
    </row>
    <row r="82" customFormat="false" ht="15" hidden="false" customHeight="false" outlineLevel="0" collapsed="false">
      <c r="B82" s="32" t="s">
        <v>181</v>
      </c>
      <c r="C82" s="0"/>
      <c r="D82" s="33" t="s">
        <v>182</v>
      </c>
      <c r="E82" s="56" t="n">
        <v>0</v>
      </c>
    </row>
    <row r="83" customFormat="false" ht="15" hidden="false" customHeight="false" outlineLevel="0" collapsed="false">
      <c r="B83" s="32" t="s">
        <v>183</v>
      </c>
      <c r="C83" s="0"/>
      <c r="D83" s="33" t="s">
        <v>184</v>
      </c>
      <c r="E83" s="56" t="n">
        <v>0</v>
      </c>
    </row>
    <row r="84" customFormat="false" ht="15" hidden="false" customHeight="false" outlineLevel="0" collapsed="false">
      <c r="B84" s="32" t="s">
        <v>185</v>
      </c>
      <c r="C84" s="0"/>
      <c r="D84" s="33" t="s">
        <v>186</v>
      </c>
      <c r="E84" s="56" t="n">
        <v>0</v>
      </c>
    </row>
    <row r="85" customFormat="false" ht="15" hidden="false" customHeight="false" outlineLevel="0" collapsed="false">
      <c r="B85" s="32" t="s">
        <v>187</v>
      </c>
      <c r="C85" s="0"/>
      <c r="D85" s="33" t="s">
        <v>188</v>
      </c>
      <c r="E85" s="56" t="n">
        <v>0</v>
      </c>
    </row>
    <row r="86" customFormat="false" ht="15" hidden="false" customHeight="false" outlineLevel="0" collapsed="false">
      <c r="B86" s="32" t="s">
        <v>189</v>
      </c>
      <c r="C86" s="0"/>
      <c r="D86" s="33" t="s">
        <v>190</v>
      </c>
      <c r="E86" s="56" t="n">
        <v>0</v>
      </c>
    </row>
    <row r="87" customFormat="false" ht="15" hidden="false" customHeight="false" outlineLevel="0" collapsed="false">
      <c r="B87" s="32" t="s">
        <v>191</v>
      </c>
      <c r="C87" s="0"/>
      <c r="D87" s="33" t="s">
        <v>192</v>
      </c>
      <c r="E87" s="56" t="n">
        <v>0</v>
      </c>
    </row>
    <row r="88" customFormat="false" ht="15" hidden="false" customHeight="false" outlineLevel="0" collapsed="false">
      <c r="B88" s="32" t="s">
        <v>193</v>
      </c>
      <c r="C88" s="0"/>
      <c r="D88" s="33" t="s">
        <v>194</v>
      </c>
      <c r="E88" s="56" t="n">
        <v>0</v>
      </c>
    </row>
    <row r="89" customFormat="false" ht="15" hidden="false" customHeight="false" outlineLevel="0" collapsed="false">
      <c r="B89" s="32" t="s">
        <v>195</v>
      </c>
      <c r="C89" s="0"/>
      <c r="D89" s="33" t="s">
        <v>196</v>
      </c>
      <c r="E89" s="56" t="n">
        <v>0</v>
      </c>
    </row>
    <row r="90" customFormat="false" ht="15" hidden="false" customHeight="false" outlineLevel="0" collapsed="false">
      <c r="B90" s="32" t="s">
        <v>197</v>
      </c>
      <c r="C90" s="0"/>
      <c r="D90" s="33" t="s">
        <v>198</v>
      </c>
      <c r="E90" s="56" t="n">
        <v>0</v>
      </c>
    </row>
    <row r="91" customFormat="false" ht="15" hidden="false" customHeight="false" outlineLevel="0" collapsed="false">
      <c r="B91" s="32" t="s">
        <v>199</v>
      </c>
      <c r="C91" s="0"/>
      <c r="D91" s="33" t="s">
        <v>200</v>
      </c>
      <c r="E91" s="56" t="n">
        <f aca="false">ABS(-0.16199187)</f>
        <v>0.16199187</v>
      </c>
    </row>
    <row r="92" customFormat="false" ht="15" hidden="false" customHeight="false" outlineLevel="0" collapsed="false">
      <c r="B92" s="32" t="s">
        <v>201</v>
      </c>
      <c r="C92" s="0"/>
      <c r="D92" s="33" t="s">
        <v>202</v>
      </c>
      <c r="E92" s="56" t="n">
        <v>0</v>
      </c>
    </row>
    <row r="93" customFormat="false" ht="15" hidden="false" customHeight="false" outlineLevel="0" collapsed="false">
      <c r="B93" s="32" t="s">
        <v>203</v>
      </c>
      <c r="C93" s="0"/>
      <c r="D93" s="33" t="s">
        <v>204</v>
      </c>
      <c r="E93" s="56" t="n">
        <v>0</v>
      </c>
    </row>
    <row r="94" customFormat="false" ht="15" hidden="false" customHeight="false" outlineLevel="0" collapsed="false">
      <c r="B94" s="32" t="s">
        <v>205</v>
      </c>
      <c r="C94" s="0"/>
      <c r="D94" s="33" t="s">
        <v>206</v>
      </c>
      <c r="E94" s="56" t="n">
        <v>0</v>
      </c>
    </row>
    <row r="95" customFormat="false" ht="15" hidden="false" customHeight="false" outlineLevel="0" collapsed="false">
      <c r="B95" s="32" t="s">
        <v>207</v>
      </c>
      <c r="C95" s="0"/>
      <c r="D95" s="33" t="s">
        <v>208</v>
      </c>
      <c r="E95" s="56" t="n">
        <v>0</v>
      </c>
    </row>
    <row r="96" customFormat="false" ht="15" hidden="false" customHeight="false" outlineLevel="0" collapsed="false">
      <c r="B96" s="32" t="s">
        <v>209</v>
      </c>
      <c r="C96" s="0"/>
      <c r="D96" s="33" t="s">
        <v>210</v>
      </c>
      <c r="E96" s="56" t="n">
        <v>0</v>
      </c>
    </row>
    <row r="97" customFormat="false" ht="15" hidden="false" customHeight="false" outlineLevel="0" collapsed="false">
      <c r="B97" s="32" t="s">
        <v>211</v>
      </c>
      <c r="C97" s="0"/>
      <c r="D97" s="33" t="s">
        <v>212</v>
      </c>
      <c r="E97" s="56" t="n">
        <v>0</v>
      </c>
    </row>
    <row r="98" customFormat="false" ht="15" hidden="false" customHeight="false" outlineLevel="0" collapsed="false">
      <c r="B98" s="32" t="s">
        <v>213</v>
      </c>
      <c r="C98" s="0"/>
      <c r="D98" s="33" t="s">
        <v>214</v>
      </c>
      <c r="E98" s="56" t="n">
        <v>0</v>
      </c>
    </row>
    <row r="99" customFormat="false" ht="15" hidden="false" customHeight="false" outlineLevel="0" collapsed="false">
      <c r="B99" s="32" t="s">
        <v>215</v>
      </c>
      <c r="C99" s="0"/>
      <c r="D99" s="33" t="s">
        <v>216</v>
      </c>
      <c r="E99" s="56" t="n">
        <v>0</v>
      </c>
    </row>
    <row r="100" customFormat="false" ht="15" hidden="false" customHeight="false" outlineLevel="0" collapsed="false">
      <c r="B100" s="32" t="s">
        <v>217</v>
      </c>
      <c r="C100" s="0"/>
      <c r="D100" s="33" t="s">
        <v>218</v>
      </c>
      <c r="E100" s="56" t="n">
        <v>0</v>
      </c>
    </row>
    <row r="101" customFormat="false" ht="15" hidden="false" customHeight="false" outlineLevel="0" collapsed="false">
      <c r="B101" s="32" t="s">
        <v>219</v>
      </c>
      <c r="C101" s="0"/>
      <c r="D101" s="33" t="s">
        <v>220</v>
      </c>
      <c r="E101" s="56" t="n">
        <v>0</v>
      </c>
    </row>
    <row r="102" customFormat="false" ht="15" hidden="false" customHeight="false" outlineLevel="0" collapsed="false">
      <c r="B102" s="32" t="s">
        <v>221</v>
      </c>
      <c r="C102" s="0"/>
      <c r="D102" s="33" t="s">
        <v>222</v>
      </c>
      <c r="E102" s="56" t="n">
        <v>0</v>
      </c>
    </row>
    <row r="103" customFormat="false" ht="15" hidden="false" customHeight="false" outlineLevel="0" collapsed="false">
      <c r="B103" s="32" t="s">
        <v>223</v>
      </c>
      <c r="C103" s="0"/>
      <c r="D103" s="33" t="s">
        <v>224</v>
      </c>
      <c r="E103" s="56" t="n">
        <v>0</v>
      </c>
    </row>
    <row r="104" customFormat="false" ht="15" hidden="false" customHeight="false" outlineLevel="0" collapsed="false">
      <c r="B104" s="32" t="s">
        <v>225</v>
      </c>
      <c r="C104" s="0"/>
      <c r="D104" s="33" t="s">
        <v>226</v>
      </c>
      <c r="E104" s="56" t="n">
        <v>0</v>
      </c>
    </row>
    <row r="105" customFormat="false" ht="15" hidden="false" customHeight="false" outlineLevel="0" collapsed="false">
      <c r="B105" s="32" t="s">
        <v>227</v>
      </c>
      <c r="C105" s="0"/>
      <c r="D105" s="33" t="s">
        <v>228</v>
      </c>
      <c r="E105" s="56" t="n">
        <v>0</v>
      </c>
    </row>
    <row r="106" customFormat="false" ht="15" hidden="false" customHeight="false" outlineLevel="0" collapsed="false">
      <c r="B106" s="32" t="s">
        <v>229</v>
      </c>
      <c r="C106" s="0"/>
      <c r="D106" s="33" t="s">
        <v>230</v>
      </c>
      <c r="E106" s="56" t="n">
        <v>0</v>
      </c>
    </row>
    <row r="107" customFormat="false" ht="15" hidden="false" customHeight="false" outlineLevel="0" collapsed="false">
      <c r="B107" s="32" t="s">
        <v>231</v>
      </c>
      <c r="C107" s="0"/>
      <c r="D107" s="33" t="s">
        <v>232</v>
      </c>
      <c r="E107" s="56" t="n">
        <v>0</v>
      </c>
    </row>
    <row r="108" customFormat="false" ht="15" hidden="false" customHeight="false" outlineLevel="0" collapsed="false">
      <c r="B108" s="32" t="s">
        <v>233</v>
      </c>
      <c r="C108" s="0"/>
      <c r="D108" s="33" t="s">
        <v>234</v>
      </c>
      <c r="E108" s="56" t="n">
        <v>0</v>
      </c>
    </row>
    <row r="109" customFormat="false" ht="15" hidden="false" customHeight="false" outlineLevel="0" collapsed="false">
      <c r="B109" s="32" t="s">
        <v>235</v>
      </c>
      <c r="C109" s="0"/>
      <c r="D109" s="33" t="s">
        <v>236</v>
      </c>
      <c r="E109" s="56" t="n">
        <v>0</v>
      </c>
    </row>
    <row r="110" customFormat="false" ht="15" hidden="false" customHeight="false" outlineLevel="0" collapsed="false">
      <c r="B110" s="32" t="s">
        <v>237</v>
      </c>
      <c r="C110" s="0"/>
      <c r="D110" s="33" t="s">
        <v>238</v>
      </c>
      <c r="E110" s="56" t="n">
        <v>0</v>
      </c>
    </row>
    <row r="111" customFormat="false" ht="15" hidden="false" customHeight="false" outlineLevel="0" collapsed="false">
      <c r="B111" s="32" t="s">
        <v>239</v>
      </c>
      <c r="C111" s="0"/>
      <c r="D111" s="33" t="s">
        <v>240</v>
      </c>
      <c r="E111" s="56" t="n">
        <v>0</v>
      </c>
    </row>
    <row r="112" customFormat="false" ht="15" hidden="false" customHeight="false" outlineLevel="0" collapsed="false">
      <c r="B112" s="32" t="s">
        <v>241</v>
      </c>
      <c r="C112" s="0"/>
      <c r="D112" s="33" t="s">
        <v>242</v>
      </c>
      <c r="E112" s="56" t="n">
        <v>0</v>
      </c>
    </row>
    <row r="113" customFormat="false" ht="15" hidden="false" customHeight="false" outlineLevel="0" collapsed="false">
      <c r="B113" s="32" t="s">
        <v>243</v>
      </c>
      <c r="C113" s="0"/>
      <c r="D113" s="33" t="s">
        <v>244</v>
      </c>
      <c r="E113" s="56" t="n">
        <v>0</v>
      </c>
    </row>
    <row r="114" customFormat="false" ht="15" hidden="false" customHeight="false" outlineLevel="0" collapsed="false">
      <c r="B114" s="32" t="s">
        <v>245</v>
      </c>
      <c r="C114" s="0"/>
      <c r="D114" s="33" t="s">
        <v>246</v>
      </c>
      <c r="E114" s="56" t="n">
        <v>0</v>
      </c>
    </row>
    <row r="115" customFormat="false" ht="15" hidden="false" customHeight="false" outlineLevel="0" collapsed="false">
      <c r="B115" s="32" t="s">
        <v>247</v>
      </c>
      <c r="C115" s="0"/>
      <c r="D115" s="33" t="s">
        <v>248</v>
      </c>
      <c r="E115" s="56" t="n">
        <v>0</v>
      </c>
    </row>
    <row r="116" customFormat="false" ht="15" hidden="false" customHeight="false" outlineLevel="0" collapsed="false">
      <c r="B116" s="32" t="s">
        <v>249</v>
      </c>
      <c r="C116" s="0"/>
      <c r="D116" s="33" t="s">
        <v>250</v>
      </c>
      <c r="E116" s="56" t="n">
        <v>0</v>
      </c>
    </row>
    <row r="117" customFormat="false" ht="15" hidden="false" customHeight="false" outlineLevel="0" collapsed="false">
      <c r="B117" s="32" t="s">
        <v>251</v>
      </c>
      <c r="C117" s="0"/>
      <c r="D117" s="33" t="s">
        <v>252</v>
      </c>
      <c r="E117" s="56" t="n">
        <v>0</v>
      </c>
    </row>
    <row r="118" customFormat="false" ht="15" hidden="false" customHeight="false" outlineLevel="0" collapsed="false">
      <c r="B118" s="32" t="s">
        <v>253</v>
      </c>
      <c r="C118" s="0"/>
      <c r="D118" s="33" t="s">
        <v>254</v>
      </c>
      <c r="E118" s="56" t="n">
        <v>0</v>
      </c>
    </row>
    <row r="119" customFormat="false" ht="15" hidden="false" customHeight="false" outlineLevel="0" collapsed="false">
      <c r="B119" s="32" t="s">
        <v>255</v>
      </c>
      <c r="C119" s="0"/>
      <c r="D119" s="33" t="s">
        <v>256</v>
      </c>
      <c r="E119" s="56" t="n">
        <v>0</v>
      </c>
    </row>
    <row r="120" customFormat="false" ht="15" hidden="false" customHeight="false" outlineLevel="0" collapsed="false">
      <c r="B120" s="32" t="s">
        <v>257</v>
      </c>
      <c r="C120" s="0"/>
      <c r="D120" s="33" t="s">
        <v>258</v>
      </c>
      <c r="E120" s="56" t="n">
        <v>0</v>
      </c>
    </row>
    <row r="121" customFormat="false" ht="15" hidden="false" customHeight="false" outlineLevel="0" collapsed="false">
      <c r="B121" s="32" t="s">
        <v>259</v>
      </c>
      <c r="C121" s="0"/>
      <c r="D121" s="33" t="s">
        <v>260</v>
      </c>
      <c r="E121" s="56" t="n">
        <v>0</v>
      </c>
    </row>
    <row r="122" customFormat="false" ht="15" hidden="false" customHeight="false" outlineLevel="0" collapsed="false">
      <c r="B122" s="32" t="s">
        <v>261</v>
      </c>
      <c r="C122" s="0"/>
      <c r="D122" s="33" t="s">
        <v>262</v>
      </c>
      <c r="E122" s="56" t="n">
        <v>0</v>
      </c>
    </row>
    <row r="123" customFormat="false" ht="15" hidden="false" customHeight="false" outlineLevel="0" collapsed="false">
      <c r="B123" s="32" t="s">
        <v>263</v>
      </c>
      <c r="C123" s="0"/>
      <c r="D123" s="33" t="s">
        <v>264</v>
      </c>
      <c r="E123" s="56" t="n">
        <v>0</v>
      </c>
    </row>
    <row r="124" customFormat="false" ht="15" hidden="false" customHeight="false" outlineLevel="0" collapsed="false">
      <c r="B124" s="32" t="s">
        <v>265</v>
      </c>
      <c r="C124" s="0"/>
      <c r="D124" s="33" t="s">
        <v>266</v>
      </c>
      <c r="E124" s="56" t="n">
        <v>0</v>
      </c>
    </row>
    <row r="125" customFormat="false" ht="15" hidden="false" customHeight="false" outlineLevel="0" collapsed="false">
      <c r="B125" s="32" t="s">
        <v>267</v>
      </c>
      <c r="C125" s="0"/>
      <c r="D125" s="33" t="s">
        <v>268</v>
      </c>
      <c r="E125" s="56" t="n">
        <v>0</v>
      </c>
    </row>
    <row r="126" customFormat="false" ht="15" hidden="false" customHeight="false" outlineLevel="0" collapsed="false">
      <c r="B126" s="32" t="s">
        <v>269</v>
      </c>
      <c r="C126" s="0"/>
      <c r="D126" s="33" t="s">
        <v>270</v>
      </c>
      <c r="E126" s="56" t="n">
        <v>0</v>
      </c>
    </row>
    <row r="127" customFormat="false" ht="15" hidden="false" customHeight="false" outlineLevel="0" collapsed="false">
      <c r="B127" s="32" t="s">
        <v>271</v>
      </c>
      <c r="C127" s="0"/>
      <c r="D127" s="33" t="s">
        <v>272</v>
      </c>
      <c r="E127" s="56" t="n">
        <v>0</v>
      </c>
    </row>
    <row r="128" customFormat="false" ht="15" hidden="false" customHeight="false" outlineLevel="0" collapsed="false">
      <c r="B128" s="32" t="s">
        <v>273</v>
      </c>
      <c r="C128" s="0"/>
      <c r="D128" s="33" t="s">
        <v>274</v>
      </c>
      <c r="E128" s="56" t="n">
        <v>0</v>
      </c>
    </row>
    <row r="129" customFormat="false" ht="15" hidden="false" customHeight="false" outlineLevel="0" collapsed="false">
      <c r="B129" s="32" t="s">
        <v>275</v>
      </c>
      <c r="C129" s="0"/>
      <c r="D129" s="33" t="s">
        <v>276</v>
      </c>
      <c r="E129" s="56" t="n">
        <v>0</v>
      </c>
    </row>
    <row r="130" customFormat="false" ht="15" hidden="false" customHeight="false" outlineLevel="0" collapsed="false">
      <c r="B130" s="32" t="s">
        <v>277</v>
      </c>
      <c r="C130" s="0"/>
      <c r="D130" s="33" t="s">
        <v>278</v>
      </c>
      <c r="E130" s="56" t="n">
        <v>0</v>
      </c>
    </row>
    <row r="131" customFormat="false" ht="15" hidden="false" customHeight="false" outlineLevel="0" collapsed="false">
      <c r="B131" s="32" t="s">
        <v>279</v>
      </c>
      <c r="C131" s="0"/>
      <c r="D131" s="33" t="s">
        <v>280</v>
      </c>
      <c r="E131" s="56" t="n">
        <v>0</v>
      </c>
    </row>
    <row r="132" customFormat="false" ht="15" hidden="false" customHeight="false" outlineLevel="0" collapsed="false">
      <c r="B132" s="32" t="s">
        <v>281</v>
      </c>
      <c r="C132" s="0"/>
      <c r="D132" s="33" t="s">
        <v>282</v>
      </c>
      <c r="E132" s="56" t="n">
        <v>0</v>
      </c>
    </row>
    <row r="133" customFormat="false" ht="15" hidden="false" customHeight="false" outlineLevel="0" collapsed="false">
      <c r="B133" s="32" t="s">
        <v>283</v>
      </c>
      <c r="C133" s="0"/>
      <c r="D133" s="33" t="s">
        <v>284</v>
      </c>
      <c r="E133" s="56" t="n">
        <v>0</v>
      </c>
    </row>
    <row r="134" customFormat="false" ht="15" hidden="false" customHeight="false" outlineLevel="0" collapsed="false">
      <c r="B134" s="32" t="s">
        <v>285</v>
      </c>
      <c r="C134" s="0"/>
      <c r="D134" s="33" t="s">
        <v>286</v>
      </c>
      <c r="E134" s="56" t="n">
        <v>0</v>
      </c>
    </row>
    <row r="135" customFormat="false" ht="15" hidden="false" customHeight="false" outlineLevel="0" collapsed="false">
      <c r="B135" s="32" t="s">
        <v>287</v>
      </c>
      <c r="C135" s="0"/>
      <c r="D135" s="33" t="s">
        <v>288</v>
      </c>
      <c r="E135" s="56" t="n">
        <v>0</v>
      </c>
    </row>
    <row r="136" customFormat="false" ht="15" hidden="false" customHeight="false" outlineLevel="0" collapsed="false">
      <c r="B136" s="32" t="s">
        <v>289</v>
      </c>
      <c r="C136" s="0"/>
      <c r="D136" s="33" t="s">
        <v>290</v>
      </c>
      <c r="E136" s="56" t="n">
        <v>0</v>
      </c>
    </row>
    <row r="137" customFormat="false" ht="15" hidden="false" customHeight="false" outlineLevel="0" collapsed="false">
      <c r="B137" s="32" t="s">
        <v>291</v>
      </c>
      <c r="C137" s="0"/>
      <c r="D137" s="33" t="s">
        <v>292</v>
      </c>
      <c r="E137" s="56" t="n">
        <v>0</v>
      </c>
    </row>
    <row r="138" customFormat="false" ht="15" hidden="false" customHeight="false" outlineLevel="0" collapsed="false">
      <c r="B138" s="32" t="s">
        <v>293</v>
      </c>
      <c r="C138" s="0"/>
      <c r="D138" s="33" t="s">
        <v>294</v>
      </c>
      <c r="E138" s="56" t="n">
        <v>0</v>
      </c>
    </row>
    <row r="139" customFormat="false" ht="15" hidden="false" customHeight="false" outlineLevel="0" collapsed="false">
      <c r="B139" s="32" t="s">
        <v>295</v>
      </c>
      <c r="C139" s="51"/>
      <c r="D139" s="33" t="s">
        <v>296</v>
      </c>
      <c r="E139" s="56" t="n">
        <v>0</v>
      </c>
    </row>
    <row r="140" customFormat="false" ht="15" hidden="false" customHeight="false" outlineLevel="0" collapsed="false">
      <c r="B140" s="52" t="s">
        <v>297</v>
      </c>
      <c r="D140" s="53" t="s">
        <v>298</v>
      </c>
      <c r="E140" s="57" t="n">
        <v>0</v>
      </c>
    </row>
  </sheetData>
  <mergeCells count="8">
    <mergeCell ref="A1:P2"/>
    <mergeCell ref="G4:H4"/>
    <mergeCell ref="K4:L4"/>
    <mergeCell ref="D5:E5"/>
    <mergeCell ref="G9:H9"/>
    <mergeCell ref="K9:L9"/>
    <mergeCell ref="G15:H15"/>
    <mergeCell ref="K16:L1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P140"/>
  <sheetViews>
    <sheetView windowProtection="false"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A1" activeCellId="0" sqref="A1"/>
    </sheetView>
  </sheetViews>
  <sheetFormatPr defaultRowHeight="15"/>
  <cols>
    <col collapsed="false" hidden="false" max="1" min="1" style="0" width="2.83673469387755"/>
    <col collapsed="false" hidden="false" max="2" min="2" style="0" width="62.9081632653061"/>
    <col collapsed="false" hidden="false" max="3" min="3" style="15" width="5.39795918367347"/>
    <col collapsed="false" hidden="false" max="4" min="4" style="16" width="4.99489795918367"/>
    <col collapsed="false" hidden="false" max="5" min="5" style="16" width="17.4132653061224"/>
    <col collapsed="false" hidden="false" max="6" min="6" style="15" width="9.71938775510204"/>
    <col collapsed="false" hidden="false" max="7" min="7" style="15" width="13.9030612244898"/>
    <col collapsed="false" hidden="false" max="8" min="8" style="15" width="13.7704081632653"/>
    <col collapsed="false" hidden="false" max="9" min="9" style="15" width="7.4234693877551"/>
    <col collapsed="false" hidden="false" max="10" min="10" style="15" width="6.88265306122449"/>
    <col collapsed="false" hidden="false" max="12" min="11" style="15" width="13.9030612244898"/>
    <col collapsed="false" hidden="false" max="14" min="13" style="15" width="11.2040816326531"/>
    <col collapsed="false" hidden="false" max="1025" min="15" style="0" width="10.530612244898"/>
  </cols>
  <sheetData>
    <row r="1" customFormat="false" ht="15.75" hidden="false" customHeight="true" outlineLevel="0" collapsed="false">
      <c r="A1" s="17" t="s">
        <v>300</v>
      </c>
      <c r="B1" s="17"/>
      <c r="C1" s="17"/>
      <c r="D1" s="17"/>
      <c r="E1" s="17"/>
      <c r="F1" s="17"/>
      <c r="G1" s="17"/>
      <c r="H1" s="17"/>
      <c r="I1" s="17"/>
      <c r="J1" s="17"/>
      <c r="K1" s="17"/>
      <c r="L1" s="17"/>
      <c r="M1" s="17"/>
      <c r="N1" s="17"/>
      <c r="O1" s="17"/>
      <c r="P1" s="17"/>
    </row>
    <row r="2" customFormat="false" ht="15" hidden="false" customHeight="true" outlineLevel="0" collapsed="false">
      <c r="A2" s="17"/>
      <c r="B2" s="17"/>
      <c r="C2" s="17"/>
      <c r="D2" s="17"/>
      <c r="E2" s="17"/>
      <c r="F2" s="17"/>
      <c r="G2" s="17"/>
      <c r="H2" s="17"/>
      <c r="I2" s="17"/>
      <c r="J2" s="17"/>
      <c r="K2" s="17"/>
      <c r="L2" s="17"/>
      <c r="M2" s="17"/>
      <c r="N2" s="17"/>
      <c r="O2" s="17"/>
      <c r="P2" s="17"/>
    </row>
    <row r="3" customFormat="false" ht="15" hidden="false" customHeight="false" outlineLevel="0" collapsed="false">
      <c r="C3" s="0"/>
      <c r="D3" s="0"/>
      <c r="E3" s="0"/>
      <c r="G3" s="18"/>
      <c r="H3" s="18"/>
      <c r="I3" s="18"/>
      <c r="J3" s="18"/>
      <c r="K3" s="18"/>
      <c r="L3" s="18"/>
    </row>
    <row r="4" customFormat="false" ht="32.25" hidden="false" customHeight="true" outlineLevel="0" collapsed="false">
      <c r="C4" s="0"/>
      <c r="D4" s="0"/>
      <c r="E4" s="0"/>
      <c r="G4" s="58" t="s">
        <v>15</v>
      </c>
      <c r="H4" s="58"/>
      <c r="I4" s="18"/>
      <c r="J4" s="18"/>
      <c r="K4" s="58" t="s">
        <v>16</v>
      </c>
      <c r="L4" s="58"/>
    </row>
    <row r="5" customFormat="false" ht="21.75" hidden="false" customHeight="true" outlineLevel="0" collapsed="false">
      <c r="B5" s="20" t="s">
        <v>17</v>
      </c>
      <c r="C5" s="0"/>
      <c r="D5" s="21" t="s">
        <v>18</v>
      </c>
      <c r="E5" s="21"/>
      <c r="G5" s="22" t="s">
        <v>19</v>
      </c>
      <c r="H5" s="23" t="n">
        <v>0.0001</v>
      </c>
      <c r="I5" s="24"/>
      <c r="J5" s="25"/>
      <c r="K5" s="26" t="s">
        <v>20</v>
      </c>
      <c r="L5" s="23" t="n">
        <v>0.1</v>
      </c>
    </row>
    <row r="6" customFormat="false" ht="16.5" hidden="false" customHeight="true" outlineLevel="0" collapsed="false">
      <c r="B6" s="27" t="s">
        <v>21</v>
      </c>
      <c r="C6" s="0"/>
      <c r="D6" s="28" t="s">
        <v>22</v>
      </c>
      <c r="E6" s="29" t="n">
        <v>0</v>
      </c>
      <c r="G6" s="18"/>
      <c r="H6" s="18"/>
      <c r="I6" s="18"/>
      <c r="J6" s="18"/>
      <c r="K6" s="30"/>
      <c r="L6" s="31"/>
    </row>
    <row r="7" customFormat="false" ht="15" hidden="false" customHeight="false" outlineLevel="0" collapsed="false">
      <c r="B7" s="32" t="s">
        <v>23</v>
      </c>
      <c r="C7" s="0"/>
      <c r="D7" s="33" t="s">
        <v>24</v>
      </c>
      <c r="E7" s="34" t="n">
        <f aca="false">ABS(-0.02304021)</f>
        <v>0.02304021</v>
      </c>
      <c r="G7" s="18"/>
      <c r="H7" s="18"/>
      <c r="I7" s="18"/>
      <c r="J7" s="18"/>
      <c r="K7" s="18"/>
      <c r="L7" s="18"/>
    </row>
    <row r="8" customFormat="false" ht="15" hidden="false" customHeight="false" outlineLevel="0" collapsed="false">
      <c r="B8" s="32" t="s">
        <v>25</v>
      </c>
      <c r="C8" s="0"/>
      <c r="D8" s="33" t="s">
        <v>26</v>
      </c>
      <c r="E8" s="34" t="n">
        <v>0</v>
      </c>
      <c r="G8" s="18"/>
      <c r="H8" s="18"/>
      <c r="I8" s="18"/>
      <c r="J8" s="18"/>
      <c r="K8" s="18"/>
      <c r="L8" s="18"/>
    </row>
    <row r="9" customFormat="false" ht="15.75" hidden="false" customHeight="false" outlineLevel="0" collapsed="false">
      <c r="B9" s="32" t="s">
        <v>27</v>
      </c>
      <c r="C9" s="0"/>
      <c r="D9" s="33" t="s">
        <v>28</v>
      </c>
      <c r="E9" s="34" t="n">
        <v>0</v>
      </c>
      <c r="G9" s="35" t="s">
        <v>29</v>
      </c>
      <c r="H9" s="35"/>
      <c r="I9" s="36"/>
      <c r="J9" s="18"/>
      <c r="K9" s="37" t="s">
        <v>30</v>
      </c>
      <c r="L9" s="37"/>
    </row>
    <row r="10" customFormat="false" ht="15.75" hidden="false" customHeight="false" outlineLevel="0" collapsed="false">
      <c r="B10" s="32" t="s">
        <v>31</v>
      </c>
      <c r="C10" s="0"/>
      <c r="D10" s="33" t="s">
        <v>32</v>
      </c>
      <c r="E10" s="34" t="n">
        <v>0</v>
      </c>
      <c r="G10" s="38" t="s">
        <v>33</v>
      </c>
      <c r="H10" s="39" t="n">
        <f aca="false">SUM(E7:E140)</f>
        <v>7463.57344946</v>
      </c>
      <c r="I10" s="40"/>
      <c r="J10" s="18"/>
      <c r="K10" s="41" t="s">
        <v>34</v>
      </c>
      <c r="L10" s="42" t="n">
        <f aca="false">$L$5*(E57+E63+E65+E68+E70+E74+E75+E80+E81+E82+E85+E86+E87+E90+E91+E95+E96+E97+E99+E100+E101)</f>
        <v>0.000603494</v>
      </c>
    </row>
    <row r="11" customFormat="false" ht="21.75" hidden="false" customHeight="true" outlineLevel="0" collapsed="false">
      <c r="B11" s="32" t="s">
        <v>35</v>
      </c>
      <c r="C11" s="0"/>
      <c r="D11" s="33" t="s">
        <v>36</v>
      </c>
      <c r="E11" s="34" t="n">
        <v>0.0209377</v>
      </c>
      <c r="G11" s="0"/>
      <c r="H11" s="0"/>
      <c r="I11" s="40"/>
      <c r="J11" s="18"/>
      <c r="K11" s="0"/>
      <c r="L11" s="0"/>
    </row>
    <row r="12" customFormat="false" ht="15.75" hidden="false" customHeight="false" outlineLevel="0" collapsed="false">
      <c r="B12" s="32" t="s">
        <v>37</v>
      </c>
      <c r="C12" s="0"/>
      <c r="D12" s="33" t="s">
        <v>38</v>
      </c>
      <c r="E12" s="34" t="n">
        <v>0</v>
      </c>
      <c r="G12" s="40"/>
      <c r="H12" s="40"/>
      <c r="I12" s="40"/>
      <c r="J12" s="18"/>
      <c r="K12" s="40"/>
      <c r="L12" s="40"/>
    </row>
    <row r="13" customFormat="false" ht="15" hidden="false" customHeight="false" outlineLevel="0" collapsed="false">
      <c r="B13" s="32" t="s">
        <v>39</v>
      </c>
      <c r="C13" s="0"/>
      <c r="D13" s="33" t="s">
        <v>40</v>
      </c>
      <c r="E13" s="34" t="n">
        <f aca="false">ABS(-0.00000209)</f>
        <v>2.09E-006</v>
      </c>
      <c r="G13" s="18"/>
      <c r="H13" s="18"/>
      <c r="I13" s="18"/>
      <c r="J13" s="18"/>
      <c r="K13" s="18"/>
      <c r="L13" s="18"/>
    </row>
    <row r="14" customFormat="false" ht="15" hidden="false" customHeight="false" outlineLevel="0" collapsed="false">
      <c r="B14" s="32" t="s">
        <v>41</v>
      </c>
      <c r="C14" s="0"/>
      <c r="D14" s="33" t="s">
        <v>42</v>
      </c>
      <c r="E14" s="34" t="n">
        <v>0</v>
      </c>
      <c r="G14" s="18"/>
      <c r="H14" s="18"/>
      <c r="I14" s="18"/>
      <c r="J14" s="18"/>
      <c r="K14" s="0"/>
      <c r="L14" s="0"/>
    </row>
    <row r="15" customFormat="false" ht="32.25" hidden="false" customHeight="true" outlineLevel="0" collapsed="false">
      <c r="B15" s="32" t="s">
        <v>43</v>
      </c>
      <c r="C15" s="0"/>
      <c r="D15" s="33" t="s">
        <v>44</v>
      </c>
      <c r="E15" s="34" t="n">
        <v>0</v>
      </c>
      <c r="G15" s="43" t="s">
        <v>45</v>
      </c>
      <c r="H15" s="43"/>
      <c r="I15" s="0"/>
      <c r="J15" s="0"/>
      <c r="K15" s="0"/>
      <c r="L15" s="0"/>
    </row>
    <row r="16" customFormat="false" ht="20.25" hidden="false" customHeight="true" outlineLevel="0" collapsed="false">
      <c r="B16" s="32" t="s">
        <v>46</v>
      </c>
      <c r="C16" s="0"/>
      <c r="D16" s="33" t="s">
        <v>47</v>
      </c>
      <c r="E16" s="34" t="n">
        <v>0</v>
      </c>
      <c r="G16" s="44" t="s">
        <v>48</v>
      </c>
      <c r="H16" s="42" t="n">
        <f aca="false">SUM(E54:E101)</f>
        <v>16.67684833</v>
      </c>
      <c r="I16" s="18"/>
      <c r="J16" s="18"/>
      <c r="K16" s="45" t="s">
        <v>49</v>
      </c>
      <c r="L16" s="45"/>
    </row>
    <row r="17" customFormat="false" ht="18.75" hidden="false" customHeight="true" outlineLevel="0" collapsed="false">
      <c r="B17" s="32" t="s">
        <v>50</v>
      </c>
      <c r="C17" s="0"/>
      <c r="D17" s="33" t="s">
        <v>51</v>
      </c>
      <c r="E17" s="34" t="n">
        <v>0</v>
      </c>
      <c r="G17" s="0"/>
      <c r="H17" s="0"/>
      <c r="I17" s="18"/>
      <c r="J17" s="18"/>
      <c r="K17" s="46" t="s">
        <v>52</v>
      </c>
      <c r="L17" s="42" t="n">
        <f aca="false">($H$16/$L$10)-(1/$L$5)</f>
        <v>27623.8262352235</v>
      </c>
    </row>
    <row r="18" customFormat="false" ht="24" hidden="false" customHeight="true" outlineLevel="0" collapsed="false">
      <c r="B18" s="32" t="s">
        <v>53</v>
      </c>
      <c r="C18" s="0"/>
      <c r="D18" s="33" t="s">
        <v>54</v>
      </c>
      <c r="E18" s="34" t="n">
        <v>0</v>
      </c>
      <c r="G18" s="0"/>
      <c r="H18" s="0"/>
      <c r="I18" s="18"/>
      <c r="J18" s="18"/>
      <c r="K18" s="0"/>
      <c r="L18" s="0"/>
    </row>
    <row r="19" customFormat="false" ht="24" hidden="false" customHeight="true" outlineLevel="0" collapsed="false">
      <c r="B19" s="32" t="s">
        <v>55</v>
      </c>
      <c r="C19" s="0"/>
      <c r="D19" s="33" t="s">
        <v>56</v>
      </c>
      <c r="E19" s="34" t="n">
        <v>0</v>
      </c>
      <c r="G19" s="0"/>
      <c r="H19" s="0"/>
      <c r="K19" s="0"/>
      <c r="L19" s="0"/>
    </row>
    <row r="20" customFormat="false" ht="15.75" hidden="false" customHeight="true" outlineLevel="0" collapsed="false">
      <c r="B20" s="32" t="s">
        <v>57</v>
      </c>
      <c r="C20" s="0"/>
      <c r="D20" s="33" t="s">
        <v>58</v>
      </c>
      <c r="E20" s="34" t="n">
        <v>0</v>
      </c>
      <c r="G20" s="0"/>
      <c r="H20" s="0"/>
      <c r="K20" s="0"/>
      <c r="L20" s="0"/>
    </row>
    <row r="21" customFormat="false" ht="15.75" hidden="false" customHeight="true" outlineLevel="0" collapsed="false">
      <c r="B21" s="32" t="s">
        <v>59</v>
      </c>
      <c r="C21" s="0"/>
      <c r="D21" s="33" t="s">
        <v>60</v>
      </c>
      <c r="E21" s="34" t="n">
        <v>0</v>
      </c>
      <c r="G21" s="0"/>
      <c r="H21" s="0"/>
      <c r="K21" s="47"/>
      <c r="L21" s="47"/>
    </row>
    <row r="22" customFormat="false" ht="15.75" hidden="false" customHeight="false" outlineLevel="0" collapsed="false">
      <c r="B22" s="32" t="s">
        <v>61</v>
      </c>
      <c r="C22" s="0"/>
      <c r="D22" s="33" t="s">
        <v>62</v>
      </c>
      <c r="E22" s="34" t="n">
        <v>0</v>
      </c>
      <c r="G22" s="0"/>
      <c r="H22" s="0"/>
      <c r="K22" s="48"/>
      <c r="L22" s="48"/>
    </row>
    <row r="23" customFormat="false" ht="15.75" hidden="false" customHeight="false" outlineLevel="0" collapsed="false">
      <c r="B23" s="32" t="s">
        <v>63</v>
      </c>
      <c r="C23" s="0"/>
      <c r="D23" s="33" t="s">
        <v>64</v>
      </c>
      <c r="E23" s="34" t="n">
        <f aca="false">ABS(-0.73939128)</f>
        <v>0.73939128</v>
      </c>
      <c r="G23" s="0"/>
      <c r="H23" s="0"/>
      <c r="K23" s="49"/>
      <c r="L23" s="47"/>
    </row>
    <row r="24" customFormat="false" ht="15" hidden="false" customHeight="false" outlineLevel="0" collapsed="false">
      <c r="B24" s="32" t="s">
        <v>65</v>
      </c>
      <c r="C24" s="0"/>
      <c r="D24" s="33" t="s">
        <v>66</v>
      </c>
      <c r="E24" s="34" t="n">
        <v>1.69E-006</v>
      </c>
      <c r="G24" s="0"/>
      <c r="H24" s="0"/>
      <c r="K24" s="50"/>
      <c r="L24" s="50"/>
    </row>
    <row r="25" customFormat="false" ht="15" hidden="false" customHeight="false" outlineLevel="0" collapsed="false">
      <c r="B25" s="32" t="s">
        <v>67</v>
      </c>
      <c r="C25" s="0"/>
      <c r="D25" s="33" t="s">
        <v>68</v>
      </c>
      <c r="E25" s="34" t="n">
        <f aca="false">ABS(-0.00000156)</f>
        <v>1.56E-006</v>
      </c>
      <c r="G25" s="0"/>
      <c r="H25" s="0"/>
      <c r="K25" s="50"/>
      <c r="L25" s="50"/>
    </row>
    <row r="26" customFormat="false" ht="15" hidden="false" customHeight="false" outlineLevel="0" collapsed="false">
      <c r="B26" s="32" t="s">
        <v>69</v>
      </c>
      <c r="C26" s="0"/>
      <c r="D26" s="33" t="s">
        <v>70</v>
      </c>
      <c r="E26" s="34" t="n">
        <v>7.58861836</v>
      </c>
      <c r="G26" s="0"/>
      <c r="H26" s="0"/>
      <c r="K26" s="50"/>
      <c r="L26" s="50"/>
    </row>
    <row r="27" customFormat="false" ht="15" hidden="false" customHeight="false" outlineLevel="0" collapsed="false">
      <c r="B27" s="32" t="s">
        <v>71</v>
      </c>
      <c r="C27" s="0"/>
      <c r="D27" s="33" t="s">
        <v>72</v>
      </c>
      <c r="E27" s="34" t="n">
        <f aca="false">ABS(-0.23040211)</f>
        <v>0.23040211</v>
      </c>
      <c r="G27" s="0"/>
      <c r="H27" s="0"/>
    </row>
    <row r="28" customFormat="false" ht="15" hidden="false" customHeight="false" outlineLevel="0" collapsed="false">
      <c r="B28" s="32" t="s">
        <v>73</v>
      </c>
      <c r="C28" s="0"/>
      <c r="D28" s="33" t="s">
        <v>74</v>
      </c>
      <c r="E28" s="34" t="n">
        <f aca="false">ABS(-7416.09451289)</f>
        <v>7416.09451289</v>
      </c>
      <c r="G28" s="59"/>
      <c r="H28" s="59"/>
    </row>
    <row r="29" customFormat="false" ht="15.75" hidden="false" customHeight="false" outlineLevel="0" collapsed="false">
      <c r="B29" s="32" t="s">
        <v>75</v>
      </c>
      <c r="C29" s="0"/>
      <c r="D29" s="33" t="s">
        <v>76</v>
      </c>
      <c r="E29" s="34" t="n">
        <f aca="false">ABS(-0.00073792)</f>
        <v>0.00073792</v>
      </c>
      <c r="G29" s="60"/>
      <c r="H29" s="60"/>
    </row>
    <row r="30" customFormat="false" ht="15" hidden="false" customHeight="false" outlineLevel="0" collapsed="false">
      <c r="B30" s="32" t="s">
        <v>77</v>
      </c>
      <c r="C30" s="0"/>
      <c r="D30" s="33" t="s">
        <v>78</v>
      </c>
      <c r="E30" s="34" t="n">
        <v>0</v>
      </c>
      <c r="G30" s="61"/>
      <c r="H30" s="62"/>
    </row>
    <row r="31" customFormat="false" ht="15" hidden="false" customHeight="false" outlineLevel="0" collapsed="false">
      <c r="B31" s="32" t="s">
        <v>79</v>
      </c>
      <c r="C31" s="0"/>
      <c r="D31" s="33" t="s">
        <v>80</v>
      </c>
      <c r="E31" s="34" t="n">
        <v>0</v>
      </c>
      <c r="G31" s="63"/>
      <c r="H31" s="59"/>
    </row>
    <row r="32" customFormat="false" ht="15" hidden="false" customHeight="false" outlineLevel="0" collapsed="false">
      <c r="B32" s="32" t="s">
        <v>81</v>
      </c>
      <c r="C32" s="0"/>
      <c r="D32" s="33" t="s">
        <v>82</v>
      </c>
      <c r="E32" s="34" t="n">
        <v>2.094E-005</v>
      </c>
      <c r="G32" s="59"/>
      <c r="H32" s="64"/>
    </row>
    <row r="33" customFormat="false" ht="15" hidden="false" customHeight="false" outlineLevel="0" collapsed="false">
      <c r="B33" s="32" t="s">
        <v>83</v>
      </c>
      <c r="C33" s="0"/>
      <c r="D33" s="33" t="s">
        <v>84</v>
      </c>
      <c r="E33" s="34" t="n">
        <f aca="false">ABS(-0.00002094)</f>
        <v>2.094E-005</v>
      </c>
      <c r="G33" s="59"/>
      <c r="H33" s="59"/>
    </row>
    <row r="34" customFormat="false" ht="15" hidden="false" customHeight="false" outlineLevel="0" collapsed="false">
      <c r="B34" s="32" t="s">
        <v>85</v>
      </c>
      <c r="C34" s="0"/>
      <c r="D34" s="33" t="s">
        <v>86</v>
      </c>
      <c r="E34" s="34" t="n">
        <f aca="false">ABS(-7.3939128)</f>
        <v>7.3939128</v>
      </c>
      <c r="G34" s="59"/>
      <c r="H34" s="59"/>
    </row>
    <row r="35" customFormat="false" ht="15" hidden="false" customHeight="false" outlineLevel="0" collapsed="false">
      <c r="B35" s="32" t="s">
        <v>87</v>
      </c>
      <c r="C35" s="0"/>
      <c r="D35" s="33" t="s">
        <v>88</v>
      </c>
      <c r="E35" s="34" t="n">
        <v>0</v>
      </c>
      <c r="G35" s="59"/>
      <c r="H35" s="59"/>
    </row>
    <row r="36" customFormat="false" ht="15" hidden="false" customHeight="false" outlineLevel="0" collapsed="false">
      <c r="B36" s="32" t="s">
        <v>89</v>
      </c>
      <c r="C36" s="0"/>
      <c r="D36" s="33" t="s">
        <v>90</v>
      </c>
      <c r="E36" s="34" t="n">
        <v>0</v>
      </c>
      <c r="G36" s="59"/>
      <c r="H36" s="59"/>
    </row>
    <row r="37" customFormat="false" ht="15" hidden="false" customHeight="false" outlineLevel="0" collapsed="false">
      <c r="B37" s="32" t="s">
        <v>91</v>
      </c>
      <c r="C37" s="0"/>
      <c r="D37" s="33" t="s">
        <v>92</v>
      </c>
      <c r="E37" s="34" t="n">
        <v>0</v>
      </c>
    </row>
    <row r="38" customFormat="false" ht="15" hidden="false" customHeight="false" outlineLevel="0" collapsed="false">
      <c r="B38" s="32" t="s">
        <v>93</v>
      </c>
      <c r="C38" s="0"/>
      <c r="D38" s="33" t="s">
        <v>94</v>
      </c>
      <c r="E38" s="34" t="n">
        <v>0</v>
      </c>
    </row>
    <row r="39" customFormat="false" ht="15" hidden="false" customHeight="false" outlineLevel="0" collapsed="false">
      <c r="B39" s="32" t="s">
        <v>95</v>
      </c>
      <c r="C39" s="0"/>
      <c r="D39" s="33" t="s">
        <v>96</v>
      </c>
      <c r="E39" s="34" t="n">
        <f aca="false">ABS(-0.00737915)</f>
        <v>0.00737915</v>
      </c>
    </row>
    <row r="40" customFormat="false" ht="15" hidden="false" customHeight="false" outlineLevel="0" collapsed="false">
      <c r="B40" s="32" t="s">
        <v>97</v>
      </c>
      <c r="C40" s="0"/>
      <c r="D40" s="33" t="s">
        <v>98</v>
      </c>
      <c r="E40" s="34" t="n">
        <v>0.00073808</v>
      </c>
    </row>
    <row r="41" customFormat="false" ht="15" hidden="false" customHeight="false" outlineLevel="0" collapsed="false">
      <c r="B41" s="32" t="s">
        <v>99</v>
      </c>
      <c r="C41" s="0"/>
      <c r="D41" s="33" t="s">
        <v>100</v>
      </c>
      <c r="E41" s="34" t="n">
        <v>0</v>
      </c>
    </row>
    <row r="42" customFormat="false" ht="15" hidden="false" customHeight="false" outlineLevel="0" collapsed="false">
      <c r="B42" s="32" t="s">
        <v>101</v>
      </c>
      <c r="C42" s="0"/>
      <c r="D42" s="33" t="s">
        <v>102</v>
      </c>
      <c r="E42" s="34" t="n">
        <f aca="false">ABS(-0.00004347)</f>
        <v>4.347E-005</v>
      </c>
    </row>
    <row r="43" customFormat="false" ht="15" hidden="false" customHeight="false" outlineLevel="0" collapsed="false">
      <c r="B43" s="32" t="s">
        <v>103</v>
      </c>
      <c r="C43" s="0"/>
      <c r="D43" s="33" t="s">
        <v>104</v>
      </c>
      <c r="E43" s="34" t="n">
        <v>1.694E-005</v>
      </c>
    </row>
    <row r="44" customFormat="false" ht="15" hidden="false" customHeight="false" outlineLevel="0" collapsed="false">
      <c r="B44" s="32" t="s">
        <v>105</v>
      </c>
      <c r="C44" s="0"/>
      <c r="D44" s="33" t="s">
        <v>106</v>
      </c>
      <c r="E44" s="34" t="n">
        <v>14.7894422</v>
      </c>
    </row>
    <row r="45" customFormat="false" ht="15" hidden="false" customHeight="false" outlineLevel="0" collapsed="false">
      <c r="B45" s="32" t="s">
        <v>107</v>
      </c>
      <c r="C45" s="0"/>
      <c r="D45" s="33" t="s">
        <v>108</v>
      </c>
      <c r="E45" s="34" t="n">
        <v>0</v>
      </c>
    </row>
    <row r="46" customFormat="false" ht="15" hidden="false" customHeight="false" outlineLevel="0" collapsed="false">
      <c r="B46" s="32" t="s">
        <v>109</v>
      </c>
      <c r="C46" s="0"/>
      <c r="D46" s="33" t="s">
        <v>110</v>
      </c>
      <c r="E46" s="34" t="n">
        <v>0</v>
      </c>
    </row>
    <row r="47" customFormat="false" ht="15" hidden="false" customHeight="false" outlineLevel="0" collapsed="false">
      <c r="B47" s="32" t="s">
        <v>111</v>
      </c>
      <c r="C47" s="0"/>
      <c r="D47" s="33" t="s">
        <v>112</v>
      </c>
      <c r="E47" s="34" t="n">
        <v>0</v>
      </c>
    </row>
    <row r="48" customFormat="false" ht="15" hidden="false" customHeight="false" outlineLevel="0" collapsed="false">
      <c r="B48" s="32" t="s">
        <v>113</v>
      </c>
      <c r="C48" s="0"/>
      <c r="D48" s="33" t="s">
        <v>114</v>
      </c>
      <c r="E48" s="34" t="n">
        <f aca="false">ABS(-0.00000002)</f>
        <v>2E-008</v>
      </c>
    </row>
    <row r="49" customFormat="false" ht="15" hidden="false" customHeight="false" outlineLevel="0" collapsed="false">
      <c r="B49" s="32" t="s">
        <v>115</v>
      </c>
      <c r="C49" s="0"/>
      <c r="D49" s="33" t="s">
        <v>116</v>
      </c>
      <c r="E49" s="34" t="n">
        <v>0.00738077</v>
      </c>
    </row>
    <row r="50" customFormat="false" ht="15" hidden="false" customHeight="false" outlineLevel="0" collapsed="false">
      <c r="B50" s="32" t="s">
        <v>117</v>
      </c>
      <c r="C50" s="0"/>
      <c r="D50" s="33" t="s">
        <v>118</v>
      </c>
      <c r="E50" s="34" t="n">
        <v>0</v>
      </c>
    </row>
    <row r="51" customFormat="false" ht="15" hidden="false" customHeight="false" outlineLevel="0" collapsed="false">
      <c r="B51" s="32" t="s">
        <v>119</v>
      </c>
      <c r="C51" s="0"/>
      <c r="D51" s="33" t="s">
        <v>120</v>
      </c>
      <c r="E51" s="34" t="n">
        <v>0</v>
      </c>
    </row>
    <row r="52" customFormat="false" ht="15" hidden="false" customHeight="false" outlineLevel="0" collapsed="false">
      <c r="B52" s="32" t="s">
        <v>121</v>
      </c>
      <c r="C52" s="0"/>
      <c r="D52" s="33" t="s">
        <v>122</v>
      </c>
      <c r="E52" s="34" t="n">
        <v>0</v>
      </c>
    </row>
    <row r="53" customFormat="false" ht="15" hidden="false" customHeight="false" outlineLevel="0" collapsed="false">
      <c r="B53" s="32" t="s">
        <v>123</v>
      </c>
      <c r="C53" s="0"/>
      <c r="D53" s="33" t="s">
        <v>124</v>
      </c>
      <c r="E53" s="34" t="n">
        <v>0</v>
      </c>
    </row>
    <row r="54" customFormat="false" ht="15" hidden="false" customHeight="false" outlineLevel="0" collapsed="false">
      <c r="B54" s="32" t="s">
        <v>125</v>
      </c>
      <c r="C54" s="0"/>
      <c r="D54" s="33" t="s">
        <v>126</v>
      </c>
      <c r="E54" s="34" t="n">
        <v>0</v>
      </c>
    </row>
    <row r="55" customFormat="false" ht="15" hidden="false" customHeight="false" outlineLevel="0" collapsed="false">
      <c r="B55" s="32" t="s">
        <v>127</v>
      </c>
      <c r="C55" s="0"/>
      <c r="D55" s="33" t="s">
        <v>128</v>
      </c>
      <c r="E55" s="34" t="n">
        <v>1.69E-006</v>
      </c>
    </row>
    <row r="56" customFormat="false" ht="15" hidden="false" customHeight="false" outlineLevel="0" collapsed="false">
      <c r="B56" s="32" t="s">
        <v>129</v>
      </c>
      <c r="C56" s="0"/>
      <c r="D56" s="33" t="s">
        <v>130</v>
      </c>
      <c r="E56" s="34" t="n">
        <v>0</v>
      </c>
    </row>
    <row r="57" customFormat="false" ht="15" hidden="false" customHeight="false" outlineLevel="0" collapsed="false">
      <c r="B57" s="32" t="s">
        <v>131</v>
      </c>
      <c r="C57" s="0"/>
      <c r="D57" s="33" t="s">
        <v>132</v>
      </c>
      <c r="E57" s="34" t="n">
        <v>0</v>
      </c>
    </row>
    <row r="58" customFormat="false" ht="15" hidden="false" customHeight="false" outlineLevel="0" collapsed="false">
      <c r="B58" s="32" t="s">
        <v>133</v>
      </c>
      <c r="C58" s="0"/>
      <c r="D58" s="33" t="s">
        <v>134</v>
      </c>
      <c r="E58" s="34" t="n">
        <v>0</v>
      </c>
    </row>
    <row r="59" customFormat="false" ht="15" hidden="false" customHeight="false" outlineLevel="0" collapsed="false">
      <c r="B59" s="32" t="s">
        <v>135</v>
      </c>
      <c r="C59" s="0"/>
      <c r="D59" s="33" t="s">
        <v>136</v>
      </c>
      <c r="E59" s="34" t="n">
        <v>0</v>
      </c>
    </row>
    <row r="60" customFormat="false" ht="15" hidden="false" customHeight="false" outlineLevel="0" collapsed="false">
      <c r="B60" s="32" t="s">
        <v>137</v>
      </c>
      <c r="C60" s="0"/>
      <c r="D60" s="33" t="s">
        <v>138</v>
      </c>
      <c r="E60" s="34" t="n">
        <v>0</v>
      </c>
    </row>
    <row r="61" customFormat="false" ht="15" hidden="false" customHeight="false" outlineLevel="0" collapsed="false">
      <c r="B61" s="32" t="s">
        <v>139</v>
      </c>
      <c r="C61" s="0"/>
      <c r="D61" s="33" t="s">
        <v>140</v>
      </c>
      <c r="E61" s="34" t="n">
        <v>0</v>
      </c>
    </row>
    <row r="62" customFormat="false" ht="15" hidden="false" customHeight="false" outlineLevel="0" collapsed="false">
      <c r="B62" s="32" t="s">
        <v>141</v>
      </c>
      <c r="C62" s="0"/>
      <c r="D62" s="33" t="s">
        <v>142</v>
      </c>
      <c r="E62" s="34" t="n">
        <v>0</v>
      </c>
    </row>
    <row r="63" customFormat="false" ht="15" hidden="false" customHeight="false" outlineLevel="0" collapsed="false">
      <c r="B63" s="32" t="s">
        <v>143</v>
      </c>
      <c r="C63" s="0"/>
      <c r="D63" s="33" t="s">
        <v>144</v>
      </c>
      <c r="E63" s="34" t="n">
        <v>0</v>
      </c>
    </row>
    <row r="64" customFormat="false" ht="15" hidden="false" customHeight="false" outlineLevel="0" collapsed="false">
      <c r="B64" s="32" t="s">
        <v>145</v>
      </c>
      <c r="C64" s="0"/>
      <c r="D64" s="33" t="s">
        <v>146</v>
      </c>
      <c r="E64" s="34" t="n">
        <v>0</v>
      </c>
    </row>
    <row r="65" customFormat="false" ht="15" hidden="false" customHeight="false" outlineLevel="0" collapsed="false">
      <c r="B65" s="32" t="s">
        <v>147</v>
      </c>
      <c r="C65" s="0"/>
      <c r="D65" s="33" t="s">
        <v>148</v>
      </c>
      <c r="E65" s="34" t="n">
        <v>0</v>
      </c>
    </row>
    <row r="66" customFormat="false" ht="15" hidden="false" customHeight="false" outlineLevel="0" collapsed="false">
      <c r="B66" s="32" t="s">
        <v>149</v>
      </c>
      <c r="C66" s="0"/>
      <c r="D66" s="33" t="s">
        <v>150</v>
      </c>
      <c r="E66" s="34" t="n">
        <v>0</v>
      </c>
    </row>
    <row r="67" customFormat="false" ht="15" hidden="false" customHeight="false" outlineLevel="0" collapsed="false">
      <c r="B67" s="32" t="s">
        <v>151</v>
      </c>
      <c r="C67" s="0"/>
      <c r="D67" s="33" t="s">
        <v>152</v>
      </c>
      <c r="E67" s="34" t="n">
        <v>0</v>
      </c>
    </row>
    <row r="68" customFormat="false" ht="15" hidden="false" customHeight="false" outlineLevel="0" collapsed="false">
      <c r="B68" s="32" t="s">
        <v>153</v>
      </c>
      <c r="C68" s="0"/>
      <c r="D68" s="33" t="s">
        <v>154</v>
      </c>
      <c r="E68" s="34" t="n">
        <v>0</v>
      </c>
    </row>
    <row r="69" customFormat="false" ht="15" hidden="false" customHeight="false" outlineLevel="0" collapsed="false">
      <c r="B69" s="32" t="s">
        <v>155</v>
      </c>
      <c r="C69" s="0"/>
      <c r="D69" s="33" t="s">
        <v>156</v>
      </c>
      <c r="E69" s="34" t="n">
        <v>0</v>
      </c>
    </row>
    <row r="70" customFormat="false" ht="15" hidden="false" customHeight="false" outlineLevel="0" collapsed="false">
      <c r="B70" s="32" t="s">
        <v>157</v>
      </c>
      <c r="C70" s="0"/>
      <c r="D70" s="33" t="s">
        <v>158</v>
      </c>
      <c r="E70" s="34" t="n">
        <v>0</v>
      </c>
    </row>
    <row r="71" customFormat="false" ht="15" hidden="false" customHeight="false" outlineLevel="0" collapsed="false">
      <c r="B71" s="32" t="s">
        <v>159</v>
      </c>
      <c r="C71" s="0"/>
      <c r="D71" s="33" t="s">
        <v>160</v>
      </c>
      <c r="E71" s="34" t="n">
        <v>0.00060023</v>
      </c>
    </row>
    <row r="72" customFormat="false" ht="15" hidden="false" customHeight="false" outlineLevel="0" collapsed="false">
      <c r="B72" s="32" t="s">
        <v>161</v>
      </c>
      <c r="C72" s="0"/>
      <c r="D72" s="33" t="s">
        <v>162</v>
      </c>
      <c r="E72" s="34" t="n">
        <f aca="false">ABS(-0.00000001)</f>
        <v>1E-008</v>
      </c>
    </row>
    <row r="73" customFormat="false" ht="15" hidden="false" customHeight="false" outlineLevel="0" collapsed="false">
      <c r="B73" s="32" t="s">
        <v>163</v>
      </c>
      <c r="C73" s="0"/>
      <c r="D73" s="33" t="s">
        <v>164</v>
      </c>
      <c r="E73" s="34" t="n">
        <v>0</v>
      </c>
    </row>
    <row r="74" customFormat="false" ht="15" hidden="false" customHeight="false" outlineLevel="0" collapsed="false">
      <c r="B74" s="32" t="s">
        <v>165</v>
      </c>
      <c r="C74" s="0"/>
      <c r="D74" s="33" t="s">
        <v>166</v>
      </c>
      <c r="E74" s="34" t="n">
        <f aca="false">ABS(-0.00001557)</f>
        <v>1.557E-005</v>
      </c>
    </row>
    <row r="75" customFormat="false" ht="15" hidden="false" customHeight="false" outlineLevel="0" collapsed="false">
      <c r="B75" s="32" t="s">
        <v>167</v>
      </c>
      <c r="C75" s="0"/>
      <c r="D75" s="33" t="s">
        <v>168</v>
      </c>
      <c r="E75" s="34" t="n">
        <v>1.694E-005</v>
      </c>
    </row>
    <row r="76" customFormat="false" ht="15" hidden="false" customHeight="false" outlineLevel="0" collapsed="false">
      <c r="B76" s="32" t="s">
        <v>169</v>
      </c>
      <c r="C76" s="0"/>
      <c r="D76" s="33" t="s">
        <v>170</v>
      </c>
      <c r="E76" s="34" t="n">
        <v>16.67021146</v>
      </c>
    </row>
    <row r="77" customFormat="false" ht="15" hidden="false" customHeight="false" outlineLevel="0" collapsed="false">
      <c r="B77" s="32" t="s">
        <v>171</v>
      </c>
      <c r="C77" s="0"/>
      <c r="D77" s="33" t="s">
        <v>172</v>
      </c>
      <c r="E77" s="34" t="n">
        <v>0</v>
      </c>
    </row>
    <row r="78" customFormat="false" ht="15" hidden="false" customHeight="false" outlineLevel="0" collapsed="false">
      <c r="B78" s="32" t="s">
        <v>173</v>
      </c>
      <c r="C78" s="0"/>
      <c r="D78" s="33" t="s">
        <v>174</v>
      </c>
      <c r="E78" s="34" t="n">
        <v>0</v>
      </c>
    </row>
    <row r="79" customFormat="false" ht="15" hidden="false" customHeight="false" outlineLevel="0" collapsed="false">
      <c r="B79" s="32" t="s">
        <v>175</v>
      </c>
      <c r="C79" s="0"/>
      <c r="D79" s="33" t="s">
        <v>176</v>
      </c>
      <c r="E79" s="34" t="n">
        <v>0</v>
      </c>
    </row>
    <row r="80" customFormat="false" ht="15" hidden="false" customHeight="false" outlineLevel="0" collapsed="false">
      <c r="B80" s="32" t="s">
        <v>177</v>
      </c>
      <c r="C80" s="0"/>
      <c r="D80" s="33" t="s">
        <v>178</v>
      </c>
      <c r="E80" s="34" t="n">
        <v>0</v>
      </c>
    </row>
    <row r="81" customFormat="false" ht="15" hidden="false" customHeight="false" outlineLevel="0" collapsed="false">
      <c r="B81" s="32" t="s">
        <v>179</v>
      </c>
      <c r="C81" s="0"/>
      <c r="D81" s="33" t="s">
        <v>180</v>
      </c>
      <c r="E81" s="34" t="n">
        <v>0</v>
      </c>
    </row>
    <row r="82" customFormat="false" ht="15" hidden="false" customHeight="false" outlineLevel="0" collapsed="false">
      <c r="B82" s="32" t="s">
        <v>181</v>
      </c>
      <c r="C82" s="0"/>
      <c r="D82" s="33" t="s">
        <v>182</v>
      </c>
      <c r="E82" s="34" t="n">
        <v>0.00600234</v>
      </c>
    </row>
    <row r="83" customFormat="false" ht="15" hidden="false" customHeight="false" outlineLevel="0" collapsed="false">
      <c r="B83" s="32" t="s">
        <v>183</v>
      </c>
      <c r="C83" s="0"/>
      <c r="D83" s="33" t="s">
        <v>184</v>
      </c>
      <c r="E83" s="34" t="n">
        <v>0</v>
      </c>
    </row>
    <row r="84" customFormat="false" ht="15" hidden="false" customHeight="false" outlineLevel="0" collapsed="false">
      <c r="B84" s="32" t="s">
        <v>185</v>
      </c>
      <c r="C84" s="0"/>
      <c r="D84" s="33" t="s">
        <v>186</v>
      </c>
      <c r="E84" s="34" t="n">
        <v>0</v>
      </c>
    </row>
    <row r="85" customFormat="false" ht="15" hidden="false" customHeight="false" outlineLevel="0" collapsed="false">
      <c r="B85" s="32" t="s">
        <v>187</v>
      </c>
      <c r="C85" s="0"/>
      <c r="D85" s="33" t="s">
        <v>188</v>
      </c>
      <c r="E85" s="34" t="n">
        <v>0</v>
      </c>
    </row>
    <row r="86" customFormat="false" ht="15" hidden="false" customHeight="false" outlineLevel="0" collapsed="false">
      <c r="B86" s="32" t="s">
        <v>189</v>
      </c>
      <c r="C86" s="0"/>
      <c r="D86" s="33" t="s">
        <v>190</v>
      </c>
      <c r="E86" s="34" t="n">
        <v>0</v>
      </c>
    </row>
    <row r="87" customFormat="false" ht="15" hidden="false" customHeight="false" outlineLevel="0" collapsed="false">
      <c r="B87" s="32" t="s">
        <v>191</v>
      </c>
      <c r="C87" s="0"/>
      <c r="D87" s="33" t="s">
        <v>192</v>
      </c>
      <c r="E87" s="34" t="n">
        <v>0</v>
      </c>
    </row>
    <row r="88" customFormat="false" ht="15" hidden="false" customHeight="false" outlineLevel="0" collapsed="false">
      <c r="B88" s="32" t="s">
        <v>193</v>
      </c>
      <c r="C88" s="0"/>
      <c r="D88" s="33" t="s">
        <v>194</v>
      </c>
      <c r="E88" s="34" t="n">
        <v>0</v>
      </c>
    </row>
    <row r="89" customFormat="false" ht="15" hidden="false" customHeight="false" outlineLevel="0" collapsed="false">
      <c r="B89" s="32" t="s">
        <v>195</v>
      </c>
      <c r="C89" s="0"/>
      <c r="D89" s="33" t="s">
        <v>196</v>
      </c>
      <c r="E89" s="34" t="n">
        <v>0</v>
      </c>
    </row>
    <row r="90" customFormat="false" ht="15" hidden="false" customHeight="false" outlineLevel="0" collapsed="false">
      <c r="B90" s="32" t="s">
        <v>197</v>
      </c>
      <c r="C90" s="0"/>
      <c r="D90" s="33" t="s">
        <v>198</v>
      </c>
      <c r="E90" s="34" t="n">
        <v>0</v>
      </c>
    </row>
    <row r="91" customFormat="false" ht="15" hidden="false" customHeight="false" outlineLevel="0" collapsed="false">
      <c r="B91" s="32" t="s">
        <v>199</v>
      </c>
      <c r="C91" s="0"/>
      <c r="D91" s="33" t="s">
        <v>200</v>
      </c>
      <c r="E91" s="34" t="n">
        <f aca="false">ABS(-0.00000009)</f>
        <v>9E-008</v>
      </c>
    </row>
    <row r="92" customFormat="false" ht="15" hidden="false" customHeight="false" outlineLevel="0" collapsed="false">
      <c r="B92" s="32" t="s">
        <v>201</v>
      </c>
      <c r="C92" s="0"/>
      <c r="D92" s="33" t="s">
        <v>202</v>
      </c>
      <c r="E92" s="34" t="n">
        <v>0</v>
      </c>
    </row>
    <row r="93" customFormat="false" ht="15" hidden="false" customHeight="false" outlineLevel="0" collapsed="false">
      <c r="B93" s="32" t="s">
        <v>203</v>
      </c>
      <c r="C93" s="0"/>
      <c r="D93" s="33" t="s">
        <v>204</v>
      </c>
      <c r="E93" s="34" t="n">
        <v>0</v>
      </c>
    </row>
    <row r="94" customFormat="false" ht="15" hidden="false" customHeight="false" outlineLevel="0" collapsed="false">
      <c r="B94" s="32" t="s">
        <v>205</v>
      </c>
      <c r="C94" s="0"/>
      <c r="D94" s="33" t="s">
        <v>206</v>
      </c>
      <c r="E94" s="34" t="n">
        <v>0</v>
      </c>
    </row>
    <row r="95" customFormat="false" ht="15" hidden="false" customHeight="false" outlineLevel="0" collapsed="false">
      <c r="B95" s="32" t="s">
        <v>207</v>
      </c>
      <c r="C95" s="0"/>
      <c r="D95" s="33" t="s">
        <v>208</v>
      </c>
      <c r="E95" s="34" t="n">
        <v>0</v>
      </c>
    </row>
    <row r="96" customFormat="false" ht="15" hidden="false" customHeight="false" outlineLevel="0" collapsed="false">
      <c r="B96" s="32" t="s">
        <v>209</v>
      </c>
      <c r="C96" s="0"/>
      <c r="D96" s="33" t="s">
        <v>210</v>
      </c>
      <c r="E96" s="34" t="n">
        <v>0</v>
      </c>
    </row>
    <row r="97" customFormat="false" ht="15" hidden="false" customHeight="false" outlineLevel="0" collapsed="false">
      <c r="B97" s="32" t="s">
        <v>211</v>
      </c>
      <c r="C97" s="0"/>
      <c r="D97" s="33" t="s">
        <v>212</v>
      </c>
      <c r="E97" s="34" t="n">
        <v>0</v>
      </c>
    </row>
    <row r="98" customFormat="false" ht="15" hidden="false" customHeight="false" outlineLevel="0" collapsed="false">
      <c r="B98" s="32" t="s">
        <v>213</v>
      </c>
      <c r="C98" s="0"/>
      <c r="D98" s="33" t="s">
        <v>214</v>
      </c>
      <c r="E98" s="34" t="n">
        <v>0</v>
      </c>
    </row>
    <row r="99" customFormat="false" ht="15" hidden="false" customHeight="false" outlineLevel="0" collapsed="false">
      <c r="B99" s="32" t="s">
        <v>215</v>
      </c>
      <c r="C99" s="0"/>
      <c r="D99" s="33" t="s">
        <v>216</v>
      </c>
      <c r="E99" s="34" t="n">
        <v>0</v>
      </c>
    </row>
    <row r="100" customFormat="false" ht="15" hidden="false" customHeight="false" outlineLevel="0" collapsed="false">
      <c r="B100" s="32" t="s">
        <v>217</v>
      </c>
      <c r="C100" s="0"/>
      <c r="D100" s="33" t="s">
        <v>218</v>
      </c>
      <c r="E100" s="34" t="n">
        <v>0</v>
      </c>
    </row>
    <row r="101" customFormat="false" ht="15" hidden="false" customHeight="false" outlineLevel="0" collapsed="false">
      <c r="B101" s="32" t="s">
        <v>219</v>
      </c>
      <c r="C101" s="0"/>
      <c r="D101" s="33" t="s">
        <v>220</v>
      </c>
      <c r="E101" s="34" t="n">
        <v>0</v>
      </c>
    </row>
    <row r="102" customFormat="false" ht="15" hidden="false" customHeight="false" outlineLevel="0" collapsed="false">
      <c r="B102" s="32" t="s">
        <v>221</v>
      </c>
      <c r="C102" s="0"/>
      <c r="D102" s="33" t="s">
        <v>222</v>
      </c>
      <c r="E102" s="34" t="n">
        <v>0</v>
      </c>
    </row>
    <row r="103" customFormat="false" ht="15" hidden="false" customHeight="false" outlineLevel="0" collapsed="false">
      <c r="B103" s="32" t="s">
        <v>223</v>
      </c>
      <c r="C103" s="0"/>
      <c r="D103" s="33" t="s">
        <v>224</v>
      </c>
      <c r="E103" s="34" t="n">
        <v>0</v>
      </c>
    </row>
    <row r="104" customFormat="false" ht="15" hidden="false" customHeight="false" outlineLevel="0" collapsed="false">
      <c r="B104" s="32" t="s">
        <v>225</v>
      </c>
      <c r="C104" s="0"/>
      <c r="D104" s="33" t="s">
        <v>226</v>
      </c>
      <c r="E104" s="34" t="n">
        <v>0</v>
      </c>
    </row>
    <row r="105" customFormat="false" ht="15" hidden="false" customHeight="false" outlineLevel="0" collapsed="false">
      <c r="B105" s="32" t="s">
        <v>227</v>
      </c>
      <c r="C105" s="0"/>
      <c r="D105" s="33" t="s">
        <v>228</v>
      </c>
      <c r="E105" s="34" t="n">
        <v>0</v>
      </c>
    </row>
    <row r="106" customFormat="false" ht="15" hidden="false" customHeight="false" outlineLevel="0" collapsed="false">
      <c r="B106" s="32" t="s">
        <v>229</v>
      </c>
      <c r="C106" s="0"/>
      <c r="D106" s="33" t="s">
        <v>230</v>
      </c>
      <c r="E106" s="34" t="n">
        <v>0</v>
      </c>
    </row>
    <row r="107" customFormat="false" ht="15" hidden="false" customHeight="false" outlineLevel="0" collapsed="false">
      <c r="B107" s="32" t="s">
        <v>231</v>
      </c>
      <c r="C107" s="0"/>
      <c r="D107" s="33" t="s">
        <v>232</v>
      </c>
      <c r="E107" s="34" t="n">
        <v>0</v>
      </c>
    </row>
    <row r="108" customFormat="false" ht="15" hidden="false" customHeight="false" outlineLevel="0" collapsed="false">
      <c r="B108" s="32" t="s">
        <v>233</v>
      </c>
      <c r="C108" s="0"/>
      <c r="D108" s="33" t="s">
        <v>234</v>
      </c>
      <c r="E108" s="34" t="n">
        <v>0</v>
      </c>
    </row>
    <row r="109" customFormat="false" ht="15" hidden="false" customHeight="false" outlineLevel="0" collapsed="false">
      <c r="B109" s="32" t="s">
        <v>235</v>
      </c>
      <c r="C109" s="0"/>
      <c r="D109" s="33" t="s">
        <v>236</v>
      </c>
      <c r="E109" s="34" t="n">
        <v>0</v>
      </c>
    </row>
    <row r="110" customFormat="false" ht="15" hidden="false" customHeight="false" outlineLevel="0" collapsed="false">
      <c r="B110" s="32" t="s">
        <v>237</v>
      </c>
      <c r="C110" s="0"/>
      <c r="D110" s="33" t="s">
        <v>238</v>
      </c>
      <c r="E110" s="34" t="n">
        <v>0</v>
      </c>
    </row>
    <row r="111" customFormat="false" ht="15" hidden="false" customHeight="false" outlineLevel="0" collapsed="false">
      <c r="B111" s="32" t="s">
        <v>239</v>
      </c>
      <c r="C111" s="0"/>
      <c r="D111" s="33" t="s">
        <v>240</v>
      </c>
      <c r="E111" s="34" t="n">
        <v>0</v>
      </c>
    </row>
    <row r="112" customFormat="false" ht="15" hidden="false" customHeight="false" outlineLevel="0" collapsed="false">
      <c r="B112" s="32" t="s">
        <v>241</v>
      </c>
      <c r="C112" s="0"/>
      <c r="D112" s="33" t="s">
        <v>242</v>
      </c>
      <c r="E112" s="34" t="n">
        <v>0</v>
      </c>
    </row>
    <row r="113" customFormat="false" ht="15" hidden="false" customHeight="false" outlineLevel="0" collapsed="false">
      <c r="B113" s="32" t="s">
        <v>243</v>
      </c>
      <c r="C113" s="0"/>
      <c r="D113" s="33" t="s">
        <v>244</v>
      </c>
      <c r="E113" s="34" t="n">
        <v>0</v>
      </c>
    </row>
    <row r="114" customFormat="false" ht="15" hidden="false" customHeight="false" outlineLevel="0" collapsed="false">
      <c r="B114" s="32" t="s">
        <v>245</v>
      </c>
      <c r="C114" s="0"/>
      <c r="D114" s="33" t="s">
        <v>246</v>
      </c>
      <c r="E114" s="34" t="n">
        <v>0</v>
      </c>
    </row>
    <row r="115" customFormat="false" ht="15" hidden="false" customHeight="false" outlineLevel="0" collapsed="false">
      <c r="B115" s="32" t="s">
        <v>247</v>
      </c>
      <c r="C115" s="0"/>
      <c r="D115" s="33" t="s">
        <v>248</v>
      </c>
      <c r="E115" s="34" t="n">
        <v>0</v>
      </c>
    </row>
    <row r="116" customFormat="false" ht="15" hidden="false" customHeight="false" outlineLevel="0" collapsed="false">
      <c r="B116" s="32" t="s">
        <v>249</v>
      </c>
      <c r="C116" s="0"/>
      <c r="D116" s="33" t="s">
        <v>250</v>
      </c>
      <c r="E116" s="34" t="n">
        <v>0</v>
      </c>
    </row>
    <row r="117" customFormat="false" ht="15" hidden="false" customHeight="false" outlineLevel="0" collapsed="false">
      <c r="B117" s="32" t="s">
        <v>251</v>
      </c>
      <c r="C117" s="0"/>
      <c r="D117" s="33" t="s">
        <v>252</v>
      </c>
      <c r="E117" s="34" t="n">
        <v>0</v>
      </c>
    </row>
    <row r="118" customFormat="false" ht="15" hidden="false" customHeight="false" outlineLevel="0" collapsed="false">
      <c r="B118" s="32" t="s">
        <v>253</v>
      </c>
      <c r="C118" s="0"/>
      <c r="D118" s="33" t="s">
        <v>254</v>
      </c>
      <c r="E118" s="34" t="n">
        <f aca="false">ABS(-0.00000001)</f>
        <v>1E-008</v>
      </c>
    </row>
    <row r="119" customFormat="false" ht="15" hidden="false" customHeight="false" outlineLevel="0" collapsed="false">
      <c r="B119" s="32" t="s">
        <v>255</v>
      </c>
      <c r="C119" s="0"/>
      <c r="D119" s="33" t="s">
        <v>256</v>
      </c>
      <c r="E119" s="34" t="n">
        <v>0</v>
      </c>
    </row>
    <row r="120" customFormat="false" ht="15" hidden="false" customHeight="false" outlineLevel="0" collapsed="false">
      <c r="B120" s="32" t="s">
        <v>257</v>
      </c>
      <c r="C120" s="0"/>
      <c r="D120" s="33" t="s">
        <v>258</v>
      </c>
      <c r="E120" s="34" t="n">
        <v>0</v>
      </c>
    </row>
    <row r="121" customFormat="false" ht="15" hidden="false" customHeight="false" outlineLevel="0" collapsed="false">
      <c r="B121" s="32" t="s">
        <v>259</v>
      </c>
      <c r="C121" s="0"/>
      <c r="D121" s="33" t="s">
        <v>260</v>
      </c>
      <c r="E121" s="34" t="n">
        <v>0</v>
      </c>
    </row>
    <row r="122" customFormat="false" ht="15" hidden="false" customHeight="false" outlineLevel="0" collapsed="false">
      <c r="B122" s="32" t="s">
        <v>261</v>
      </c>
      <c r="C122" s="0"/>
      <c r="D122" s="33" t="s">
        <v>262</v>
      </c>
      <c r="E122" s="34" t="n">
        <v>0</v>
      </c>
    </row>
    <row r="123" customFormat="false" ht="15" hidden="false" customHeight="false" outlineLevel="0" collapsed="false">
      <c r="B123" s="32" t="s">
        <v>263</v>
      </c>
      <c r="C123" s="0"/>
      <c r="D123" s="33" t="s">
        <v>264</v>
      </c>
      <c r="E123" s="34" t="n">
        <v>0</v>
      </c>
    </row>
    <row r="124" customFormat="false" ht="15" hidden="false" customHeight="false" outlineLevel="0" collapsed="false">
      <c r="B124" s="32" t="s">
        <v>265</v>
      </c>
      <c r="C124" s="0"/>
      <c r="D124" s="33" t="s">
        <v>266</v>
      </c>
      <c r="E124" s="34" t="n">
        <v>0</v>
      </c>
    </row>
    <row r="125" customFormat="false" ht="15" hidden="false" customHeight="false" outlineLevel="0" collapsed="false">
      <c r="B125" s="32" t="s">
        <v>267</v>
      </c>
      <c r="C125" s="0"/>
      <c r="D125" s="33" t="s">
        <v>268</v>
      </c>
      <c r="E125" s="34" t="n">
        <v>0</v>
      </c>
    </row>
    <row r="126" customFormat="false" ht="15" hidden="false" customHeight="false" outlineLevel="0" collapsed="false">
      <c r="B126" s="32" t="s">
        <v>269</v>
      </c>
      <c r="C126" s="0"/>
      <c r="D126" s="33" t="s">
        <v>270</v>
      </c>
      <c r="E126" s="34" t="n">
        <v>0</v>
      </c>
    </row>
    <row r="127" customFormat="false" ht="15" hidden="false" customHeight="false" outlineLevel="0" collapsed="false">
      <c r="B127" s="32" t="s">
        <v>271</v>
      </c>
      <c r="C127" s="0"/>
      <c r="D127" s="33" t="s">
        <v>272</v>
      </c>
      <c r="E127" s="34" t="n">
        <v>0</v>
      </c>
    </row>
    <row r="128" customFormat="false" ht="15" hidden="false" customHeight="false" outlineLevel="0" collapsed="false">
      <c r="B128" s="32" t="s">
        <v>273</v>
      </c>
      <c r="C128" s="0"/>
      <c r="D128" s="33" t="s">
        <v>274</v>
      </c>
      <c r="E128" s="34" t="n">
        <v>0</v>
      </c>
    </row>
    <row r="129" customFormat="false" ht="15" hidden="false" customHeight="false" outlineLevel="0" collapsed="false">
      <c r="B129" s="32" t="s">
        <v>275</v>
      </c>
      <c r="C129" s="0"/>
      <c r="D129" s="33" t="s">
        <v>276</v>
      </c>
      <c r="E129" s="34" t="n">
        <v>0</v>
      </c>
    </row>
    <row r="130" customFormat="false" ht="15" hidden="false" customHeight="false" outlineLevel="0" collapsed="false">
      <c r="B130" s="32" t="s">
        <v>277</v>
      </c>
      <c r="C130" s="0"/>
      <c r="D130" s="33" t="s">
        <v>278</v>
      </c>
      <c r="E130" s="34" t="n">
        <v>0</v>
      </c>
    </row>
    <row r="131" customFormat="false" ht="15" hidden="false" customHeight="false" outlineLevel="0" collapsed="false">
      <c r="B131" s="32" t="s">
        <v>279</v>
      </c>
      <c r="C131" s="0"/>
      <c r="D131" s="33" t="s">
        <v>280</v>
      </c>
      <c r="E131" s="34" t="n">
        <v>0</v>
      </c>
    </row>
    <row r="132" customFormat="false" ht="15" hidden="false" customHeight="false" outlineLevel="0" collapsed="false">
      <c r="B132" s="32" t="s">
        <v>281</v>
      </c>
      <c r="C132" s="0"/>
      <c r="D132" s="33" t="s">
        <v>282</v>
      </c>
      <c r="E132" s="34" t="n">
        <v>0</v>
      </c>
    </row>
    <row r="133" customFormat="false" ht="15" hidden="false" customHeight="false" outlineLevel="0" collapsed="false">
      <c r="B133" s="32" t="s">
        <v>283</v>
      </c>
      <c r="C133" s="0"/>
      <c r="D133" s="33" t="s">
        <v>284</v>
      </c>
      <c r="E133" s="34" t="n">
        <v>0</v>
      </c>
    </row>
    <row r="134" customFormat="false" ht="15" hidden="false" customHeight="false" outlineLevel="0" collapsed="false">
      <c r="B134" s="32" t="s">
        <v>285</v>
      </c>
      <c r="C134" s="0"/>
      <c r="D134" s="33" t="s">
        <v>286</v>
      </c>
      <c r="E134" s="34" t="n">
        <v>0</v>
      </c>
    </row>
    <row r="135" customFormat="false" ht="15" hidden="false" customHeight="false" outlineLevel="0" collapsed="false">
      <c r="B135" s="32" t="s">
        <v>287</v>
      </c>
      <c r="C135" s="0"/>
      <c r="D135" s="33" t="s">
        <v>288</v>
      </c>
      <c r="E135" s="34" t="n">
        <v>0</v>
      </c>
    </row>
    <row r="136" customFormat="false" ht="15" hidden="false" customHeight="false" outlineLevel="0" collapsed="false">
      <c r="B136" s="32" t="s">
        <v>289</v>
      </c>
      <c r="C136" s="0"/>
      <c r="D136" s="33" t="s">
        <v>290</v>
      </c>
      <c r="E136" s="34" t="n">
        <v>0</v>
      </c>
    </row>
    <row r="137" customFormat="false" ht="15" hidden="false" customHeight="false" outlineLevel="0" collapsed="false">
      <c r="B137" s="32" t="s">
        <v>291</v>
      </c>
      <c r="C137" s="0"/>
      <c r="D137" s="33" t="s">
        <v>292</v>
      </c>
      <c r="E137" s="34" t="n">
        <v>0</v>
      </c>
    </row>
    <row r="138" customFormat="false" ht="15" hidden="false" customHeight="false" outlineLevel="0" collapsed="false">
      <c r="B138" s="32" t="s">
        <v>293</v>
      </c>
      <c r="C138" s="0"/>
      <c r="D138" s="33" t="s">
        <v>294</v>
      </c>
      <c r="E138" s="34" t="n">
        <v>0</v>
      </c>
    </row>
    <row r="139" customFormat="false" ht="15" hidden="false" customHeight="false" outlineLevel="0" collapsed="false">
      <c r="B139" s="32" t="s">
        <v>295</v>
      </c>
      <c r="C139" s="51"/>
      <c r="D139" s="33" t="s">
        <v>296</v>
      </c>
      <c r="E139" s="34" t="n">
        <v>0</v>
      </c>
    </row>
    <row r="140" customFormat="false" ht="15" hidden="false" customHeight="false" outlineLevel="0" collapsed="false">
      <c r="B140" s="52" t="s">
        <v>297</v>
      </c>
      <c r="D140" s="53" t="s">
        <v>298</v>
      </c>
      <c r="E140" s="54" t="n">
        <v>0</v>
      </c>
    </row>
  </sheetData>
  <mergeCells count="9">
    <mergeCell ref="A1:P2"/>
    <mergeCell ref="G4:H4"/>
    <mergeCell ref="K4:L4"/>
    <mergeCell ref="D5:E5"/>
    <mergeCell ref="G9:H9"/>
    <mergeCell ref="K9:L9"/>
    <mergeCell ref="G15:H15"/>
    <mergeCell ref="K16:L16"/>
    <mergeCell ref="G29:H2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P14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83673469387755"/>
    <col collapsed="false" hidden="false" max="2" min="2" style="0" width="62.9081632653061"/>
    <col collapsed="false" hidden="false" max="3" min="3" style="15" width="5.39795918367347"/>
    <col collapsed="false" hidden="false" max="4" min="4" style="16" width="4.99489795918367"/>
    <col collapsed="false" hidden="false" max="5" min="5" style="16" width="17.4132653061224"/>
    <col collapsed="false" hidden="false" max="6" min="6" style="15" width="9.71938775510204"/>
    <col collapsed="false" hidden="false" max="8" min="7" style="15" width="13.9030612244898"/>
    <col collapsed="false" hidden="false" max="9" min="9" style="15" width="7.4234693877551"/>
    <col collapsed="false" hidden="false" max="10" min="10" style="15" width="6.88265306122449"/>
    <col collapsed="false" hidden="false" max="12" min="11" style="15" width="13.9030612244898"/>
    <col collapsed="false" hidden="false" max="14" min="13" style="15" width="11.2040816326531"/>
    <col collapsed="false" hidden="false" max="1025" min="15" style="0" width="10.530612244898"/>
  </cols>
  <sheetData>
    <row r="1" customFormat="false" ht="15.75" hidden="false" customHeight="true" outlineLevel="0" collapsed="false">
      <c r="A1" s="17" t="s">
        <v>301</v>
      </c>
      <c r="B1" s="17"/>
      <c r="C1" s="17"/>
      <c r="D1" s="17"/>
      <c r="E1" s="17"/>
      <c r="F1" s="17"/>
      <c r="G1" s="17"/>
      <c r="H1" s="17"/>
      <c r="I1" s="17"/>
      <c r="J1" s="17"/>
      <c r="K1" s="17"/>
      <c r="L1" s="17"/>
      <c r="M1" s="17"/>
      <c r="N1" s="17"/>
      <c r="O1" s="17"/>
      <c r="P1" s="17"/>
    </row>
    <row r="2" customFormat="false" ht="15" hidden="false" customHeight="true" outlineLevel="0" collapsed="false">
      <c r="A2" s="17"/>
      <c r="B2" s="17"/>
      <c r="C2" s="17"/>
      <c r="D2" s="17"/>
      <c r="E2" s="17"/>
      <c r="F2" s="17"/>
      <c r="G2" s="17"/>
      <c r="H2" s="17"/>
      <c r="I2" s="17"/>
      <c r="J2" s="17"/>
      <c r="K2" s="17"/>
      <c r="L2" s="17"/>
      <c r="M2" s="17"/>
      <c r="N2" s="17"/>
      <c r="O2" s="17"/>
      <c r="P2" s="17"/>
    </row>
    <row r="3" customFormat="false" ht="15" hidden="false" customHeight="false" outlineLevel="0" collapsed="false">
      <c r="C3" s="0"/>
      <c r="D3" s="0"/>
      <c r="E3" s="0"/>
      <c r="G3" s="18"/>
      <c r="H3" s="18"/>
      <c r="I3" s="18"/>
      <c r="J3" s="18"/>
      <c r="K3" s="18"/>
      <c r="L3" s="18"/>
    </row>
    <row r="4" customFormat="false" ht="32.25" hidden="false" customHeight="true" outlineLevel="0" collapsed="false">
      <c r="C4" s="0"/>
      <c r="D4" s="0"/>
      <c r="E4" s="0"/>
      <c r="G4" s="19" t="s">
        <v>15</v>
      </c>
      <c r="H4" s="19"/>
      <c r="I4" s="18"/>
      <c r="J4" s="18"/>
      <c r="K4" s="19" t="s">
        <v>16</v>
      </c>
      <c r="L4" s="19"/>
    </row>
    <row r="5" customFormat="false" ht="21.75" hidden="false" customHeight="true" outlineLevel="0" collapsed="false">
      <c r="B5" s="20" t="s">
        <v>17</v>
      </c>
      <c r="C5" s="0"/>
      <c r="D5" s="21" t="s">
        <v>18</v>
      </c>
      <c r="E5" s="21"/>
      <c r="G5" s="22" t="s">
        <v>19</v>
      </c>
      <c r="H5" s="23" t="n">
        <v>0.03</v>
      </c>
      <c r="I5" s="24"/>
      <c r="J5" s="25"/>
      <c r="K5" s="26" t="s">
        <v>20</v>
      </c>
      <c r="L5" s="23" t="n">
        <v>0.1</v>
      </c>
    </row>
    <row r="6" customFormat="false" ht="16.5" hidden="false" customHeight="true" outlineLevel="0" collapsed="false">
      <c r="B6" s="27" t="s">
        <v>21</v>
      </c>
      <c r="C6" s="0"/>
      <c r="D6" s="28" t="s">
        <v>22</v>
      </c>
      <c r="E6" s="55" t="n">
        <v>0</v>
      </c>
      <c r="G6" s="18"/>
      <c r="H6" s="18"/>
      <c r="I6" s="18"/>
      <c r="J6" s="18"/>
      <c r="K6" s="30"/>
      <c r="L6" s="31"/>
    </row>
    <row r="7" customFormat="false" ht="15" hidden="false" customHeight="false" outlineLevel="0" collapsed="false">
      <c r="B7" s="32" t="s">
        <v>23</v>
      </c>
      <c r="C7" s="0"/>
      <c r="D7" s="33" t="s">
        <v>24</v>
      </c>
      <c r="E7" s="56" t="n">
        <f aca="false">ABS(-0.22100879)</f>
        <v>0.22100879</v>
      </c>
      <c r="G7" s="18"/>
      <c r="H7" s="18"/>
      <c r="I7" s="18"/>
      <c r="J7" s="18"/>
      <c r="K7" s="18"/>
      <c r="L7" s="18"/>
    </row>
    <row r="8" customFormat="false" ht="15" hidden="false" customHeight="false" outlineLevel="0" collapsed="false">
      <c r="B8" s="32" t="s">
        <v>25</v>
      </c>
      <c r="C8" s="0"/>
      <c r="D8" s="33" t="s">
        <v>26</v>
      </c>
      <c r="E8" s="56" t="n">
        <v>0</v>
      </c>
      <c r="G8" s="18"/>
      <c r="H8" s="18"/>
      <c r="I8" s="18"/>
      <c r="J8" s="18"/>
      <c r="K8" s="18"/>
      <c r="L8" s="18"/>
    </row>
    <row r="9" customFormat="false" ht="15.75" hidden="false" customHeight="false" outlineLevel="0" collapsed="false">
      <c r="B9" s="32" t="s">
        <v>27</v>
      </c>
      <c r="C9" s="0"/>
      <c r="D9" s="33" t="s">
        <v>28</v>
      </c>
      <c r="E9" s="56" t="n">
        <v>0</v>
      </c>
      <c r="G9" s="35" t="s">
        <v>29</v>
      </c>
      <c r="H9" s="35"/>
      <c r="I9" s="36"/>
      <c r="J9" s="18"/>
      <c r="K9" s="37" t="s">
        <v>30</v>
      </c>
      <c r="L9" s="37"/>
    </row>
    <row r="10" customFormat="false" ht="15.75" hidden="false" customHeight="false" outlineLevel="0" collapsed="false">
      <c r="B10" s="32" t="s">
        <v>31</v>
      </c>
      <c r="C10" s="0"/>
      <c r="D10" s="33" t="s">
        <v>32</v>
      </c>
      <c r="E10" s="56" t="n">
        <v>0</v>
      </c>
      <c r="G10" s="38" t="s">
        <v>33</v>
      </c>
      <c r="H10" s="39" t="n">
        <f aca="false">SUM(E7:E140)</f>
        <v>30.1005845</v>
      </c>
      <c r="I10" s="40"/>
      <c r="J10" s="18"/>
      <c r="K10" s="41" t="s">
        <v>34</v>
      </c>
      <c r="L10" s="42" t="n">
        <f aca="false">$L$5*(E57+E63+E65+E68+E70+E74+E75+E80+E81+E82+E85+E86+E87+E90+E91+E95+E96+E97+E99+E100+E101)</f>
        <v>0.556360407</v>
      </c>
    </row>
    <row r="11" customFormat="false" ht="21.75" hidden="false" customHeight="true" outlineLevel="0" collapsed="false">
      <c r="B11" s="32" t="s">
        <v>35</v>
      </c>
      <c r="C11" s="0"/>
      <c r="D11" s="33" t="s">
        <v>36</v>
      </c>
      <c r="E11" s="56" t="n">
        <v>0.37344928</v>
      </c>
      <c r="G11" s="0"/>
      <c r="H11" s="0"/>
      <c r="I11" s="40"/>
      <c r="J11" s="18"/>
      <c r="K11" s="0"/>
      <c r="L11" s="0"/>
    </row>
    <row r="12" customFormat="false" ht="15.75" hidden="false" customHeight="false" outlineLevel="0" collapsed="false">
      <c r="B12" s="32" t="s">
        <v>37</v>
      </c>
      <c r="C12" s="0"/>
      <c r="D12" s="33" t="s">
        <v>38</v>
      </c>
      <c r="E12" s="56" t="n">
        <v>0</v>
      </c>
      <c r="G12" s="40"/>
      <c r="H12" s="40"/>
      <c r="I12" s="40"/>
      <c r="J12" s="18"/>
      <c r="K12" s="40"/>
      <c r="L12" s="40"/>
    </row>
    <row r="13" customFormat="false" ht="15" hidden="false" customHeight="false" outlineLevel="0" collapsed="false">
      <c r="B13" s="32" t="s">
        <v>39</v>
      </c>
      <c r="C13" s="0"/>
      <c r="D13" s="33" t="s">
        <v>40</v>
      </c>
      <c r="E13" s="56" t="n">
        <f aca="false">ABS(-0.01120348)</f>
        <v>0.01120348</v>
      </c>
      <c r="G13" s="18"/>
      <c r="H13" s="18"/>
      <c r="I13" s="18"/>
      <c r="J13" s="18"/>
      <c r="K13" s="18"/>
      <c r="L13" s="18"/>
    </row>
    <row r="14" customFormat="false" ht="15" hidden="false" customHeight="false" outlineLevel="0" collapsed="false">
      <c r="B14" s="32" t="s">
        <v>41</v>
      </c>
      <c r="C14" s="0"/>
      <c r="D14" s="33" t="s">
        <v>42</v>
      </c>
      <c r="E14" s="56" t="n">
        <v>0</v>
      </c>
      <c r="G14" s="18"/>
      <c r="H14" s="18"/>
      <c r="I14" s="18"/>
      <c r="J14" s="18"/>
      <c r="K14" s="0"/>
      <c r="L14" s="0"/>
    </row>
    <row r="15" customFormat="false" ht="32.25" hidden="false" customHeight="true" outlineLevel="0" collapsed="false">
      <c r="B15" s="32" t="s">
        <v>43</v>
      </c>
      <c r="C15" s="0"/>
      <c r="D15" s="33" t="s">
        <v>44</v>
      </c>
      <c r="E15" s="56" t="n">
        <v>0</v>
      </c>
      <c r="G15" s="43" t="s">
        <v>45</v>
      </c>
      <c r="H15" s="43"/>
      <c r="I15" s="0"/>
      <c r="J15" s="0"/>
      <c r="K15" s="0"/>
      <c r="L15" s="0"/>
    </row>
    <row r="16" customFormat="false" ht="20.25" hidden="false" customHeight="true" outlineLevel="0" collapsed="false">
      <c r="B16" s="32" t="s">
        <v>46</v>
      </c>
      <c r="C16" s="0"/>
      <c r="D16" s="33" t="s">
        <v>47</v>
      </c>
      <c r="E16" s="56" t="n">
        <v>0</v>
      </c>
      <c r="G16" s="44" t="s">
        <v>48</v>
      </c>
      <c r="H16" s="42" t="n">
        <f aca="false">SUM(E54:E101)</f>
        <v>6.75303962</v>
      </c>
      <c r="I16" s="18"/>
      <c r="J16" s="18"/>
      <c r="K16" s="45" t="s">
        <v>49</v>
      </c>
      <c r="L16" s="45"/>
    </row>
    <row r="17" customFormat="false" ht="18.75" hidden="false" customHeight="true" outlineLevel="0" collapsed="false">
      <c r="B17" s="32" t="s">
        <v>50</v>
      </c>
      <c r="C17" s="0"/>
      <c r="D17" s="33" t="s">
        <v>51</v>
      </c>
      <c r="E17" s="56" t="n">
        <v>0</v>
      </c>
      <c r="G17" s="0"/>
      <c r="H17" s="0"/>
      <c r="I17" s="18"/>
      <c r="J17" s="18"/>
      <c r="K17" s="46" t="s">
        <v>52</v>
      </c>
      <c r="L17" s="42" t="n">
        <f aca="false">($H$16/$L$10)-(1/$L$5)</f>
        <v>2.13788676375025</v>
      </c>
    </row>
    <row r="18" customFormat="false" ht="24" hidden="false" customHeight="true" outlineLevel="0" collapsed="false">
      <c r="B18" s="32" t="s">
        <v>53</v>
      </c>
      <c r="C18" s="0"/>
      <c r="D18" s="33" t="s">
        <v>54</v>
      </c>
      <c r="E18" s="56" t="n">
        <v>0</v>
      </c>
      <c r="G18" s="0"/>
      <c r="H18" s="0"/>
      <c r="I18" s="18"/>
      <c r="J18" s="18"/>
      <c r="K18" s="0"/>
      <c r="L18" s="0"/>
    </row>
    <row r="19" customFormat="false" ht="24" hidden="false" customHeight="true" outlineLevel="0" collapsed="false">
      <c r="B19" s="32" t="s">
        <v>55</v>
      </c>
      <c r="C19" s="0"/>
      <c r="D19" s="33" t="s">
        <v>56</v>
      </c>
      <c r="E19" s="56" t="n">
        <v>0</v>
      </c>
      <c r="G19" s="0"/>
      <c r="H19" s="0"/>
      <c r="K19" s="0"/>
      <c r="L19" s="0"/>
    </row>
    <row r="20" customFormat="false" ht="15.75" hidden="false" customHeight="true" outlineLevel="0" collapsed="false">
      <c r="B20" s="32" t="s">
        <v>57</v>
      </c>
      <c r="C20" s="0"/>
      <c r="D20" s="33" t="s">
        <v>58</v>
      </c>
      <c r="E20" s="56" t="n">
        <v>0</v>
      </c>
      <c r="G20" s="0"/>
      <c r="H20" s="0"/>
      <c r="K20" s="0"/>
      <c r="L20" s="0"/>
    </row>
    <row r="21" customFormat="false" ht="15.75" hidden="false" customHeight="true" outlineLevel="0" collapsed="false">
      <c r="B21" s="32" t="s">
        <v>59</v>
      </c>
      <c r="C21" s="0"/>
      <c r="D21" s="33" t="s">
        <v>60</v>
      </c>
      <c r="E21" s="56" t="n">
        <v>0</v>
      </c>
      <c r="G21" s="0"/>
      <c r="H21" s="0"/>
      <c r="K21" s="47"/>
      <c r="L21" s="47"/>
    </row>
    <row r="22" customFormat="false" ht="15.75" hidden="false" customHeight="false" outlineLevel="0" collapsed="false">
      <c r="B22" s="32" t="s">
        <v>61</v>
      </c>
      <c r="C22" s="0"/>
      <c r="D22" s="33" t="s">
        <v>62</v>
      </c>
      <c r="E22" s="56" t="n">
        <v>0</v>
      </c>
      <c r="G22" s="0"/>
      <c r="H22" s="0"/>
      <c r="K22" s="48"/>
      <c r="L22" s="48"/>
    </row>
    <row r="23" customFormat="false" ht="15.75" hidden="false" customHeight="false" outlineLevel="0" collapsed="false">
      <c r="B23" s="32" t="s">
        <v>63</v>
      </c>
      <c r="C23" s="0"/>
      <c r="D23" s="33" t="s">
        <v>64</v>
      </c>
      <c r="E23" s="56" t="n">
        <f aca="false">ABS(-0.08181375)</f>
        <v>0.08181375</v>
      </c>
      <c r="G23" s="0"/>
      <c r="H23" s="0"/>
      <c r="K23" s="49"/>
      <c r="L23" s="47"/>
    </row>
    <row r="24" customFormat="false" ht="15" hidden="false" customHeight="false" outlineLevel="0" collapsed="false">
      <c r="B24" s="32" t="s">
        <v>65</v>
      </c>
      <c r="C24" s="0"/>
      <c r="D24" s="33" t="s">
        <v>66</v>
      </c>
      <c r="E24" s="56" t="n">
        <f aca="false">ABS(-0.54803855)</f>
        <v>0.54803855</v>
      </c>
      <c r="G24" s="0"/>
      <c r="H24" s="0"/>
      <c r="K24" s="50"/>
      <c r="L24" s="50"/>
    </row>
    <row r="25" customFormat="false" ht="15" hidden="false" customHeight="false" outlineLevel="0" collapsed="false">
      <c r="B25" s="32" t="s">
        <v>67</v>
      </c>
      <c r="C25" s="0"/>
      <c r="D25" s="33" t="s">
        <v>68</v>
      </c>
      <c r="E25" s="56" t="n">
        <v>0.12255234</v>
      </c>
      <c r="G25" s="0"/>
      <c r="H25" s="0"/>
      <c r="K25" s="50"/>
      <c r="L25" s="50"/>
    </row>
    <row r="26" customFormat="false" ht="15" hidden="false" customHeight="false" outlineLevel="0" collapsed="false">
      <c r="B26" s="32" t="s">
        <v>69</v>
      </c>
      <c r="C26" s="0"/>
      <c r="D26" s="33" t="s">
        <v>70</v>
      </c>
      <c r="E26" s="56" t="n">
        <v>1.99425723</v>
      </c>
      <c r="G26" s="0"/>
      <c r="H26" s="0"/>
      <c r="K26" s="50"/>
      <c r="L26" s="50"/>
    </row>
    <row r="27" customFormat="false" ht="15" hidden="false" customHeight="false" outlineLevel="0" collapsed="false">
      <c r="B27" s="32" t="s">
        <v>71</v>
      </c>
      <c r="C27" s="0"/>
      <c r="D27" s="33" t="s">
        <v>72</v>
      </c>
      <c r="E27" s="56" t="n">
        <f aca="false">ABS(-2.21008787)</f>
        <v>2.21008787</v>
      </c>
      <c r="G27" s="0"/>
      <c r="H27" s="0"/>
    </row>
    <row r="28" customFormat="false" ht="15" hidden="false" customHeight="false" outlineLevel="0" collapsed="false">
      <c r="B28" s="32" t="s">
        <v>73</v>
      </c>
      <c r="C28" s="0"/>
      <c r="D28" s="33" t="s">
        <v>74</v>
      </c>
      <c r="E28" s="56" t="n">
        <f aca="false">ABS(-2.20508944)</f>
        <v>2.20508944</v>
      </c>
      <c r="G28" s="59"/>
      <c r="H28" s="59"/>
    </row>
    <row r="29" customFormat="false" ht="15.75" hidden="false" customHeight="false" outlineLevel="0" collapsed="false">
      <c r="B29" s="32" t="s">
        <v>75</v>
      </c>
      <c r="C29" s="0"/>
      <c r="D29" s="33" t="s">
        <v>76</v>
      </c>
      <c r="E29" s="56" t="n">
        <f aca="false">ABS(-0.02493327)</f>
        <v>0.02493327</v>
      </c>
      <c r="G29" s="60"/>
      <c r="H29" s="60"/>
    </row>
    <row r="30" customFormat="false" ht="15" hidden="false" customHeight="false" outlineLevel="0" collapsed="false">
      <c r="B30" s="32" t="s">
        <v>77</v>
      </c>
      <c r="C30" s="0"/>
      <c r="D30" s="33" t="s">
        <v>78</v>
      </c>
      <c r="E30" s="56" t="n">
        <f aca="false">ABS(-0.08929343)</f>
        <v>0.08929343</v>
      </c>
      <c r="G30" s="61"/>
      <c r="H30" s="62"/>
    </row>
    <row r="31" customFormat="false" ht="15" hidden="false" customHeight="false" outlineLevel="0" collapsed="false">
      <c r="B31" s="32" t="s">
        <v>79</v>
      </c>
      <c r="C31" s="0"/>
      <c r="D31" s="33" t="s">
        <v>80</v>
      </c>
      <c r="E31" s="56" t="n">
        <v>0.01300277</v>
      </c>
      <c r="G31" s="63"/>
      <c r="H31" s="65"/>
    </row>
    <row r="32" customFormat="false" ht="15" hidden="false" customHeight="false" outlineLevel="0" collapsed="false">
      <c r="B32" s="32" t="s">
        <v>81</v>
      </c>
      <c r="C32" s="0"/>
      <c r="D32" s="33" t="s">
        <v>82</v>
      </c>
      <c r="E32" s="56" t="n">
        <v>0.03201326</v>
      </c>
      <c r="G32" s="59"/>
      <c r="H32" s="64"/>
    </row>
    <row r="33" customFormat="false" ht="15" hidden="false" customHeight="false" outlineLevel="0" collapsed="false">
      <c r="B33" s="32" t="s">
        <v>83</v>
      </c>
      <c r="C33" s="0"/>
      <c r="D33" s="33" t="s">
        <v>84</v>
      </c>
      <c r="E33" s="56" t="n">
        <f aca="false">ABS(-0.11203478)</f>
        <v>0.11203478</v>
      </c>
      <c r="G33" s="59"/>
      <c r="H33" s="59"/>
    </row>
    <row r="34" customFormat="false" ht="15" hidden="false" customHeight="false" outlineLevel="0" collapsed="false">
      <c r="B34" s="32" t="s">
        <v>85</v>
      </c>
      <c r="C34" s="0"/>
      <c r="D34" s="33" t="s">
        <v>86</v>
      </c>
      <c r="E34" s="56" t="n">
        <f aca="false">ABS(-0.81813746)</f>
        <v>0.81813746</v>
      </c>
    </row>
    <row r="35" customFormat="false" ht="15" hidden="false" customHeight="false" outlineLevel="0" collapsed="false">
      <c r="B35" s="32" t="s">
        <v>87</v>
      </c>
      <c r="C35" s="0"/>
      <c r="D35" s="33" t="s">
        <v>88</v>
      </c>
      <c r="E35" s="56" t="n">
        <f aca="false">ABS(-0.01534911)</f>
        <v>0.01534911</v>
      </c>
    </row>
    <row r="36" customFormat="false" ht="15" hidden="false" customHeight="false" outlineLevel="0" collapsed="false">
      <c r="B36" s="32" t="s">
        <v>89</v>
      </c>
      <c r="C36" s="0"/>
      <c r="D36" s="33" t="s">
        <v>90</v>
      </c>
      <c r="E36" s="56" t="n">
        <v>0.00245501</v>
      </c>
    </row>
    <row r="37" customFormat="false" ht="15" hidden="false" customHeight="false" outlineLevel="0" collapsed="false">
      <c r="B37" s="32" t="s">
        <v>91</v>
      </c>
      <c r="C37" s="0"/>
      <c r="D37" s="33" t="s">
        <v>92</v>
      </c>
      <c r="E37" s="56" t="n">
        <v>0.00090604</v>
      </c>
    </row>
    <row r="38" customFormat="false" ht="15" hidden="false" customHeight="false" outlineLevel="0" collapsed="false">
      <c r="B38" s="32" t="s">
        <v>93</v>
      </c>
      <c r="C38" s="0"/>
      <c r="D38" s="33" t="s">
        <v>94</v>
      </c>
      <c r="E38" s="56" t="n">
        <v>0</v>
      </c>
    </row>
    <row r="39" customFormat="false" ht="15" hidden="false" customHeight="false" outlineLevel="0" collapsed="false">
      <c r="B39" s="32" t="s">
        <v>95</v>
      </c>
      <c r="C39" s="0"/>
      <c r="D39" s="33" t="s">
        <v>96</v>
      </c>
      <c r="E39" s="56" t="n">
        <f aca="false">ABS(-0.24933269)</f>
        <v>0.24933269</v>
      </c>
    </row>
    <row r="40" customFormat="false" ht="15" hidden="false" customHeight="false" outlineLevel="0" collapsed="false">
      <c r="B40" s="32" t="s">
        <v>97</v>
      </c>
      <c r="C40" s="0"/>
      <c r="D40" s="33" t="s">
        <v>98</v>
      </c>
      <c r="E40" s="56" t="n">
        <v>0.06448472</v>
      </c>
    </row>
    <row r="41" customFormat="false" ht="15" hidden="false" customHeight="false" outlineLevel="0" collapsed="false">
      <c r="B41" s="32" t="s">
        <v>99</v>
      </c>
      <c r="C41" s="0"/>
      <c r="D41" s="33" t="s">
        <v>100</v>
      </c>
      <c r="E41" s="56" t="n">
        <v>0.17978384</v>
      </c>
    </row>
    <row r="42" customFormat="false" ht="15" hidden="false" customHeight="false" outlineLevel="0" collapsed="false">
      <c r="B42" s="32" t="s">
        <v>101</v>
      </c>
      <c r="C42" s="0"/>
      <c r="D42" s="33" t="s">
        <v>102</v>
      </c>
      <c r="E42" s="56" t="n">
        <f aca="false">ABS(-0.84046246)</f>
        <v>0.84046246</v>
      </c>
    </row>
    <row r="43" customFormat="false" ht="15" hidden="false" customHeight="false" outlineLevel="0" collapsed="false">
      <c r="B43" s="32" t="s">
        <v>103</v>
      </c>
      <c r="C43" s="0"/>
      <c r="D43" s="33" t="s">
        <v>104</v>
      </c>
      <c r="E43" s="56" t="n">
        <f aca="false">ABS(-5.48038554)</f>
        <v>5.48038554</v>
      </c>
    </row>
    <row r="44" customFormat="false" ht="15" hidden="false" customHeight="false" outlineLevel="0" collapsed="false">
      <c r="B44" s="32" t="s">
        <v>105</v>
      </c>
      <c r="C44" s="0"/>
      <c r="D44" s="33" t="s">
        <v>106</v>
      </c>
      <c r="E44" s="56" t="n">
        <v>4.25732246</v>
      </c>
    </row>
    <row r="45" customFormat="false" ht="15" hidden="false" customHeight="false" outlineLevel="0" collapsed="false">
      <c r="B45" s="32" t="s">
        <v>107</v>
      </c>
      <c r="C45" s="0"/>
      <c r="D45" s="33" t="s">
        <v>108</v>
      </c>
      <c r="E45" s="56" t="n">
        <v>0.00912726</v>
      </c>
    </row>
    <row r="46" customFormat="false" ht="15" hidden="false" customHeight="false" outlineLevel="0" collapsed="false">
      <c r="B46" s="32" t="s">
        <v>109</v>
      </c>
      <c r="C46" s="0"/>
      <c r="D46" s="33" t="s">
        <v>110</v>
      </c>
      <c r="E46" s="56" t="n">
        <v>0.03917313</v>
      </c>
    </row>
    <row r="47" customFormat="false" ht="15" hidden="false" customHeight="false" outlineLevel="0" collapsed="false">
      <c r="B47" s="32" t="s">
        <v>111</v>
      </c>
      <c r="C47" s="0"/>
      <c r="D47" s="33" t="s">
        <v>112</v>
      </c>
      <c r="E47" s="56" t="n">
        <f aca="false">ABS(-0.01427002)</f>
        <v>0.01427002</v>
      </c>
    </row>
    <row r="48" customFormat="false" ht="15" hidden="false" customHeight="false" outlineLevel="0" collapsed="false">
      <c r="B48" s="32" t="s">
        <v>113</v>
      </c>
      <c r="C48" s="0"/>
      <c r="D48" s="33" t="s">
        <v>114</v>
      </c>
      <c r="E48" s="56" t="n">
        <f aca="false">ABS(-0.89293434)</f>
        <v>0.89293434</v>
      </c>
    </row>
    <row r="49" customFormat="false" ht="15" hidden="false" customHeight="false" outlineLevel="0" collapsed="false">
      <c r="B49" s="32" t="s">
        <v>115</v>
      </c>
      <c r="C49" s="0"/>
      <c r="D49" s="33" t="s">
        <v>116</v>
      </c>
      <c r="E49" s="56" t="n">
        <v>0.64484719</v>
      </c>
    </row>
    <row r="50" customFormat="false" ht="15" hidden="false" customHeight="false" outlineLevel="0" collapsed="false">
      <c r="B50" s="32" t="s">
        <v>117</v>
      </c>
      <c r="C50" s="0"/>
      <c r="D50" s="33" t="s">
        <v>118</v>
      </c>
      <c r="E50" s="56" t="n">
        <v>0.00722343</v>
      </c>
    </row>
    <row r="51" customFormat="false" ht="15" hidden="false" customHeight="false" outlineLevel="0" collapsed="false">
      <c r="B51" s="32" t="s">
        <v>119</v>
      </c>
      <c r="C51" s="0"/>
      <c r="D51" s="33" t="s">
        <v>120</v>
      </c>
      <c r="E51" s="56" t="n">
        <f aca="false">ABS(-0.00038924)</f>
        <v>0.00038924</v>
      </c>
    </row>
    <row r="52" customFormat="false" ht="15" hidden="false" customHeight="false" outlineLevel="0" collapsed="false">
      <c r="B52" s="32" t="s">
        <v>121</v>
      </c>
      <c r="C52" s="0"/>
      <c r="D52" s="33" t="s">
        <v>122</v>
      </c>
      <c r="E52" s="56" t="n">
        <f aca="false">ABS(-0.15349106)</f>
        <v>0.15349106</v>
      </c>
    </row>
    <row r="53" customFormat="false" ht="15" hidden="false" customHeight="false" outlineLevel="0" collapsed="false">
      <c r="B53" s="32" t="s">
        <v>123</v>
      </c>
      <c r="C53" s="0"/>
      <c r="D53" s="33" t="s">
        <v>124</v>
      </c>
      <c r="E53" s="56" t="n">
        <v>0.09127258</v>
      </c>
    </row>
    <row r="54" customFormat="false" ht="15" hidden="false" customHeight="false" outlineLevel="0" collapsed="false">
      <c r="B54" s="32" t="s">
        <v>125</v>
      </c>
      <c r="C54" s="0"/>
      <c r="D54" s="33" t="s">
        <v>126</v>
      </c>
      <c r="E54" s="56" t="n">
        <v>0</v>
      </c>
    </row>
    <row r="55" customFormat="false" ht="15" hidden="false" customHeight="false" outlineLevel="0" collapsed="false">
      <c r="B55" s="32" t="s">
        <v>127</v>
      </c>
      <c r="C55" s="0"/>
      <c r="D55" s="33" t="s">
        <v>128</v>
      </c>
      <c r="E55" s="56" t="n">
        <v>0.01938684</v>
      </c>
    </row>
    <row r="56" customFormat="false" ht="15" hidden="false" customHeight="false" outlineLevel="0" collapsed="false">
      <c r="B56" s="32" t="s">
        <v>129</v>
      </c>
      <c r="C56" s="0"/>
      <c r="D56" s="33" t="s">
        <v>130</v>
      </c>
      <c r="E56" s="56" t="n">
        <v>0</v>
      </c>
    </row>
    <row r="57" customFormat="false" ht="15" hidden="false" customHeight="false" outlineLevel="0" collapsed="false">
      <c r="B57" s="32" t="s">
        <v>131</v>
      </c>
      <c r="C57" s="0"/>
      <c r="D57" s="33" t="s">
        <v>132</v>
      </c>
      <c r="E57" s="56" t="n">
        <v>0</v>
      </c>
    </row>
    <row r="58" customFormat="false" ht="15" hidden="false" customHeight="false" outlineLevel="0" collapsed="false">
      <c r="B58" s="32" t="s">
        <v>133</v>
      </c>
      <c r="C58" s="0"/>
      <c r="D58" s="33" t="s">
        <v>134</v>
      </c>
      <c r="E58" s="56" t="n">
        <v>0</v>
      </c>
    </row>
    <row r="59" customFormat="false" ht="15" hidden="false" customHeight="false" outlineLevel="0" collapsed="false">
      <c r="B59" s="32" t="s">
        <v>135</v>
      </c>
      <c r="C59" s="0"/>
      <c r="D59" s="33" t="s">
        <v>136</v>
      </c>
      <c r="E59" s="56" t="n">
        <v>0</v>
      </c>
    </row>
    <row r="60" customFormat="false" ht="15" hidden="false" customHeight="false" outlineLevel="0" collapsed="false">
      <c r="B60" s="32" t="s">
        <v>137</v>
      </c>
      <c r="C60" s="0"/>
      <c r="D60" s="33" t="s">
        <v>138</v>
      </c>
      <c r="E60" s="56" t="n">
        <v>0</v>
      </c>
    </row>
    <row r="61" customFormat="false" ht="15" hidden="false" customHeight="false" outlineLevel="0" collapsed="false">
      <c r="B61" s="32" t="s">
        <v>139</v>
      </c>
      <c r="C61" s="0"/>
      <c r="D61" s="33" t="s">
        <v>140</v>
      </c>
      <c r="E61" s="56" t="n">
        <v>0</v>
      </c>
    </row>
    <row r="62" customFormat="false" ht="15" hidden="false" customHeight="false" outlineLevel="0" collapsed="false">
      <c r="B62" s="32" t="s">
        <v>141</v>
      </c>
      <c r="C62" s="0"/>
      <c r="D62" s="33" t="s">
        <v>142</v>
      </c>
      <c r="E62" s="56" t="n">
        <v>0</v>
      </c>
    </row>
    <row r="63" customFormat="false" ht="15" hidden="false" customHeight="false" outlineLevel="0" collapsed="false">
      <c r="B63" s="32" t="s">
        <v>143</v>
      </c>
      <c r="C63" s="0"/>
      <c r="D63" s="33" t="s">
        <v>144</v>
      </c>
      <c r="E63" s="56" t="n">
        <v>0</v>
      </c>
    </row>
    <row r="64" customFormat="false" ht="15" hidden="false" customHeight="false" outlineLevel="0" collapsed="false">
      <c r="B64" s="32" t="s">
        <v>145</v>
      </c>
      <c r="C64" s="0"/>
      <c r="D64" s="33" t="s">
        <v>146</v>
      </c>
      <c r="E64" s="56" t="n">
        <v>0</v>
      </c>
    </row>
    <row r="65" customFormat="false" ht="15" hidden="false" customHeight="false" outlineLevel="0" collapsed="false">
      <c r="B65" s="32" t="s">
        <v>147</v>
      </c>
      <c r="C65" s="0"/>
      <c r="D65" s="33" t="s">
        <v>148</v>
      </c>
      <c r="E65" s="56" t="n">
        <v>0</v>
      </c>
    </row>
    <row r="66" customFormat="false" ht="15" hidden="false" customHeight="false" outlineLevel="0" collapsed="false">
      <c r="B66" s="32" t="s">
        <v>149</v>
      </c>
      <c r="C66" s="0"/>
      <c r="D66" s="33" t="s">
        <v>150</v>
      </c>
      <c r="E66" s="56" t="n">
        <v>0</v>
      </c>
    </row>
    <row r="67" customFormat="false" ht="15" hidden="false" customHeight="false" outlineLevel="0" collapsed="false">
      <c r="B67" s="32" t="s">
        <v>151</v>
      </c>
      <c r="C67" s="0"/>
      <c r="D67" s="33" t="s">
        <v>152</v>
      </c>
      <c r="E67" s="56" t="n">
        <v>0</v>
      </c>
    </row>
    <row r="68" customFormat="false" ht="15" hidden="false" customHeight="false" outlineLevel="0" collapsed="false">
      <c r="B68" s="32" t="s">
        <v>153</v>
      </c>
      <c r="C68" s="0"/>
      <c r="D68" s="33" t="s">
        <v>154</v>
      </c>
      <c r="E68" s="56" t="n">
        <v>0</v>
      </c>
    </row>
    <row r="69" customFormat="false" ht="15" hidden="false" customHeight="false" outlineLevel="0" collapsed="false">
      <c r="B69" s="32" t="s">
        <v>155</v>
      </c>
      <c r="C69" s="0"/>
      <c r="D69" s="33" t="s">
        <v>156</v>
      </c>
      <c r="E69" s="56" t="n">
        <v>0</v>
      </c>
    </row>
    <row r="70" customFormat="false" ht="15" hidden="false" customHeight="false" outlineLevel="0" collapsed="false">
      <c r="B70" s="32" t="s">
        <v>157</v>
      </c>
      <c r="C70" s="0"/>
      <c r="D70" s="33" t="s">
        <v>158</v>
      </c>
      <c r="E70" s="56" t="n">
        <v>0</v>
      </c>
    </row>
    <row r="71" customFormat="false" ht="15" hidden="false" customHeight="false" outlineLevel="0" collapsed="false">
      <c r="B71" s="32" t="s">
        <v>159</v>
      </c>
      <c r="C71" s="0"/>
      <c r="D71" s="33" t="s">
        <v>160</v>
      </c>
      <c r="E71" s="56" t="n">
        <f aca="false">ABS(-0.02579286)</f>
        <v>0.02579286</v>
      </c>
    </row>
    <row r="72" customFormat="false" ht="15" hidden="false" customHeight="false" outlineLevel="0" collapsed="false">
      <c r="B72" s="32" t="s">
        <v>161</v>
      </c>
      <c r="C72" s="0"/>
      <c r="D72" s="33" t="s">
        <v>162</v>
      </c>
      <c r="E72" s="56" t="n">
        <f aca="false">ABS(-0.07349888)</f>
        <v>0.07349888</v>
      </c>
    </row>
    <row r="73" customFormat="false" ht="15" hidden="false" customHeight="false" outlineLevel="0" collapsed="false">
      <c r="B73" s="32" t="s">
        <v>163</v>
      </c>
      <c r="C73" s="0"/>
      <c r="D73" s="33" t="s">
        <v>164</v>
      </c>
      <c r="E73" s="56" t="n">
        <v>0.00439516</v>
      </c>
    </row>
    <row r="74" customFormat="false" ht="15" hidden="false" customHeight="false" outlineLevel="0" collapsed="false">
      <c r="B74" s="32" t="s">
        <v>165</v>
      </c>
      <c r="C74" s="0"/>
      <c r="D74" s="33" t="s">
        <v>166</v>
      </c>
      <c r="E74" s="56" t="n">
        <v>1.22552343</v>
      </c>
    </row>
    <row r="75" customFormat="false" ht="15" hidden="false" customHeight="false" outlineLevel="0" collapsed="false">
      <c r="B75" s="32" t="s">
        <v>167</v>
      </c>
      <c r="C75" s="0"/>
      <c r="D75" s="33" t="s">
        <v>168</v>
      </c>
      <c r="E75" s="56" t="n">
        <v>0.19386838</v>
      </c>
    </row>
    <row r="76" customFormat="false" ht="15" hidden="false" customHeight="false" outlineLevel="0" collapsed="false">
      <c r="B76" s="32" t="s">
        <v>169</v>
      </c>
      <c r="C76" s="0"/>
      <c r="D76" s="33" t="s">
        <v>170</v>
      </c>
      <c r="E76" s="56" t="n">
        <v>0.14836023</v>
      </c>
    </row>
    <row r="77" customFormat="false" ht="15" hidden="false" customHeight="false" outlineLevel="0" collapsed="false">
      <c r="B77" s="32" t="s">
        <v>171</v>
      </c>
      <c r="C77" s="0"/>
      <c r="D77" s="33" t="s">
        <v>172</v>
      </c>
      <c r="E77" s="56" t="n">
        <f aca="false">ABS(-0.01302083)</f>
        <v>0.01302083</v>
      </c>
    </row>
    <row r="78" customFormat="false" ht="15" hidden="false" customHeight="false" outlineLevel="0" collapsed="false">
      <c r="B78" s="32" t="s">
        <v>173</v>
      </c>
      <c r="C78" s="0"/>
      <c r="D78" s="33" t="s">
        <v>174</v>
      </c>
      <c r="E78" s="56" t="n">
        <f aca="false">ABS(-0.02891312)</f>
        <v>0.02891312</v>
      </c>
    </row>
    <row r="79" customFormat="false" ht="15" hidden="false" customHeight="false" outlineLevel="0" collapsed="false">
      <c r="B79" s="32" t="s">
        <v>175</v>
      </c>
      <c r="C79" s="0"/>
      <c r="D79" s="33" t="s">
        <v>176</v>
      </c>
      <c r="E79" s="56" t="n">
        <f aca="false">ABS(-0.00245501)</f>
        <v>0.00245501</v>
      </c>
    </row>
    <row r="80" customFormat="false" ht="15" hidden="false" customHeight="false" outlineLevel="0" collapsed="false">
      <c r="B80" s="32" t="s">
        <v>177</v>
      </c>
      <c r="C80" s="0"/>
      <c r="D80" s="33" t="s">
        <v>178</v>
      </c>
      <c r="E80" s="56" t="n">
        <v>0.13002772</v>
      </c>
    </row>
    <row r="81" customFormat="false" ht="15" hidden="false" customHeight="false" outlineLevel="0" collapsed="false">
      <c r="B81" s="32" t="s">
        <v>179</v>
      </c>
      <c r="C81" s="0"/>
      <c r="D81" s="33" t="s">
        <v>180</v>
      </c>
      <c r="E81" s="56" t="n">
        <v>0</v>
      </c>
    </row>
    <row r="82" customFormat="false" ht="15" hidden="false" customHeight="false" outlineLevel="0" collapsed="false">
      <c r="B82" s="32" t="s">
        <v>181</v>
      </c>
      <c r="C82" s="0"/>
      <c r="D82" s="33" t="s">
        <v>182</v>
      </c>
      <c r="E82" s="56" t="n">
        <f aca="false">ABS(-0.25792864)</f>
        <v>0.25792864</v>
      </c>
    </row>
    <row r="83" customFormat="false" ht="15" hidden="false" customHeight="false" outlineLevel="0" collapsed="false">
      <c r="B83" s="32" t="s">
        <v>183</v>
      </c>
      <c r="C83" s="0"/>
      <c r="D83" s="33" t="s">
        <v>184</v>
      </c>
      <c r="E83" s="56" t="n">
        <f aca="false">ABS(-0.00561549)</f>
        <v>0.00561549</v>
      </c>
    </row>
    <row r="84" customFormat="false" ht="15" hidden="false" customHeight="false" outlineLevel="0" collapsed="false">
      <c r="B84" s="32" t="s">
        <v>185</v>
      </c>
      <c r="C84" s="0"/>
      <c r="D84" s="33" t="s">
        <v>186</v>
      </c>
      <c r="E84" s="56" t="n">
        <v>0</v>
      </c>
    </row>
    <row r="85" customFormat="false" ht="15" hidden="false" customHeight="false" outlineLevel="0" collapsed="false">
      <c r="B85" s="32" t="s">
        <v>187</v>
      </c>
      <c r="C85" s="0"/>
      <c r="D85" s="33" t="s">
        <v>188</v>
      </c>
      <c r="E85" s="56" t="n">
        <v>0.02455008</v>
      </c>
    </row>
    <row r="86" customFormat="false" ht="15" hidden="false" customHeight="false" outlineLevel="0" collapsed="false">
      <c r="B86" s="32" t="s">
        <v>189</v>
      </c>
      <c r="C86" s="0"/>
      <c r="D86" s="33" t="s">
        <v>190</v>
      </c>
      <c r="E86" s="56" t="n">
        <v>0</v>
      </c>
    </row>
    <row r="87" customFormat="false" ht="15" hidden="false" customHeight="false" outlineLevel="0" collapsed="false">
      <c r="B87" s="32" t="s">
        <v>191</v>
      </c>
      <c r="C87" s="0"/>
      <c r="D87" s="33" t="s">
        <v>192</v>
      </c>
      <c r="E87" s="56" t="n">
        <f aca="false">ABS(-0.13020833)</f>
        <v>0.13020833</v>
      </c>
    </row>
    <row r="88" customFormat="false" ht="15" hidden="false" customHeight="false" outlineLevel="0" collapsed="false">
      <c r="B88" s="32" t="s">
        <v>193</v>
      </c>
      <c r="C88" s="0"/>
      <c r="D88" s="33" t="s">
        <v>194</v>
      </c>
      <c r="E88" s="56" t="n">
        <v>0.01904342</v>
      </c>
    </row>
    <row r="89" customFormat="false" ht="15" hidden="false" customHeight="false" outlineLevel="0" collapsed="false">
      <c r="B89" s="32" t="s">
        <v>195</v>
      </c>
      <c r="C89" s="0"/>
      <c r="D89" s="33" t="s">
        <v>196</v>
      </c>
      <c r="E89" s="56" t="n">
        <v>0.04686993</v>
      </c>
    </row>
    <row r="90" customFormat="false" ht="15" hidden="false" customHeight="false" outlineLevel="0" collapsed="false">
      <c r="B90" s="32" t="s">
        <v>197</v>
      </c>
      <c r="C90" s="0"/>
      <c r="D90" s="33" t="s">
        <v>198</v>
      </c>
      <c r="E90" s="56" t="n">
        <v>1.79783842</v>
      </c>
    </row>
    <row r="91" customFormat="false" ht="15" hidden="false" customHeight="false" outlineLevel="0" collapsed="false">
      <c r="B91" s="32" t="s">
        <v>199</v>
      </c>
      <c r="C91" s="0"/>
      <c r="D91" s="33" t="s">
        <v>200</v>
      </c>
      <c r="E91" s="56" t="n">
        <f aca="false">ABS(-0.73498882)</f>
        <v>0.73498882</v>
      </c>
    </row>
    <row r="92" customFormat="false" ht="15" hidden="false" customHeight="false" outlineLevel="0" collapsed="false">
      <c r="B92" s="32" t="s">
        <v>201</v>
      </c>
      <c r="C92" s="0"/>
      <c r="D92" s="33" t="s">
        <v>202</v>
      </c>
      <c r="E92" s="56" t="n">
        <f aca="false">ABS(-0.78125)</f>
        <v>0.78125</v>
      </c>
    </row>
    <row r="93" customFormat="false" ht="15" hidden="false" customHeight="false" outlineLevel="0" collapsed="false">
      <c r="B93" s="32" t="s">
        <v>203</v>
      </c>
      <c r="C93" s="0"/>
      <c r="D93" s="33" t="s">
        <v>204</v>
      </c>
      <c r="E93" s="56" t="n">
        <v>0.00452434</v>
      </c>
    </row>
    <row r="94" customFormat="false" ht="15" hidden="false" customHeight="false" outlineLevel="0" collapsed="false">
      <c r="B94" s="32" t="s">
        <v>205</v>
      </c>
      <c r="C94" s="0"/>
      <c r="D94" s="33" t="s">
        <v>206</v>
      </c>
      <c r="E94" s="56" t="n">
        <v>0.01033091</v>
      </c>
    </row>
    <row r="95" customFormat="false" ht="15" hidden="false" customHeight="false" outlineLevel="0" collapsed="false">
      <c r="B95" s="32" t="s">
        <v>207</v>
      </c>
      <c r="C95" s="0"/>
      <c r="D95" s="33" t="s">
        <v>208</v>
      </c>
      <c r="E95" s="56" t="n">
        <v>0.39173133</v>
      </c>
    </row>
    <row r="96" customFormat="false" ht="15" hidden="false" customHeight="false" outlineLevel="0" collapsed="false">
      <c r="B96" s="32" t="s">
        <v>209</v>
      </c>
      <c r="C96" s="0"/>
      <c r="D96" s="33" t="s">
        <v>210</v>
      </c>
      <c r="E96" s="56" t="n">
        <f aca="false">ABS(-0.28913125)</f>
        <v>0.28913125</v>
      </c>
    </row>
    <row r="97" customFormat="false" ht="15" hidden="false" customHeight="false" outlineLevel="0" collapsed="false">
      <c r="B97" s="32" t="s">
        <v>211</v>
      </c>
      <c r="C97" s="0"/>
      <c r="D97" s="33" t="s">
        <v>212</v>
      </c>
      <c r="E97" s="56" t="n">
        <v>0.19043423</v>
      </c>
    </row>
    <row r="98" customFormat="false" ht="15" hidden="false" customHeight="false" outlineLevel="0" collapsed="false">
      <c r="B98" s="32" t="s">
        <v>213</v>
      </c>
      <c r="C98" s="0"/>
      <c r="D98" s="33" t="s">
        <v>214</v>
      </c>
      <c r="E98" s="56" t="n">
        <v>0.00597853</v>
      </c>
    </row>
    <row r="99" customFormat="false" ht="15" hidden="false" customHeight="false" outlineLevel="0" collapsed="false">
      <c r="B99" s="32" t="s">
        <v>215</v>
      </c>
      <c r="C99" s="0"/>
      <c r="D99" s="33" t="s">
        <v>216</v>
      </c>
      <c r="E99" s="56" t="n">
        <v>0.09597511</v>
      </c>
    </row>
    <row r="100" customFormat="false" ht="15" hidden="false" customHeight="false" outlineLevel="0" collapsed="false">
      <c r="B100" s="32" t="s">
        <v>217</v>
      </c>
      <c r="C100" s="0"/>
      <c r="D100" s="33" t="s">
        <v>218</v>
      </c>
      <c r="E100" s="56" t="n">
        <f aca="false">ABS(-0.05615493)</f>
        <v>0.05615493</v>
      </c>
    </row>
    <row r="101" customFormat="false" ht="15" hidden="false" customHeight="false" outlineLevel="0" collapsed="false">
      <c r="B101" s="32" t="s">
        <v>219</v>
      </c>
      <c r="C101" s="0"/>
      <c r="D101" s="33" t="s">
        <v>220</v>
      </c>
      <c r="E101" s="56" t="n">
        <v>0.0452434</v>
      </c>
    </row>
    <row r="102" customFormat="false" ht="15" hidden="false" customHeight="false" outlineLevel="0" collapsed="false">
      <c r="B102" s="32" t="s">
        <v>221</v>
      </c>
      <c r="C102" s="0"/>
      <c r="D102" s="33" t="s">
        <v>222</v>
      </c>
      <c r="E102" s="56" t="n">
        <v>0</v>
      </c>
    </row>
    <row r="103" customFormat="false" ht="15" hidden="false" customHeight="false" outlineLevel="0" collapsed="false">
      <c r="B103" s="32" t="s">
        <v>223</v>
      </c>
      <c r="C103" s="0"/>
      <c r="D103" s="33" t="s">
        <v>224</v>
      </c>
      <c r="E103" s="56" t="n">
        <v>0</v>
      </c>
    </row>
    <row r="104" customFormat="false" ht="15" hidden="false" customHeight="false" outlineLevel="0" collapsed="false">
      <c r="B104" s="32" t="s">
        <v>225</v>
      </c>
      <c r="C104" s="0"/>
      <c r="D104" s="33" t="s">
        <v>226</v>
      </c>
      <c r="E104" s="56" t="n">
        <v>0</v>
      </c>
    </row>
    <row r="105" customFormat="false" ht="15" hidden="false" customHeight="false" outlineLevel="0" collapsed="false">
      <c r="B105" s="32" t="s">
        <v>227</v>
      </c>
      <c r="C105" s="0"/>
      <c r="D105" s="33" t="s">
        <v>228</v>
      </c>
      <c r="E105" s="56" t="n">
        <v>0</v>
      </c>
    </row>
    <row r="106" customFormat="false" ht="15" hidden="false" customHeight="false" outlineLevel="0" collapsed="false">
      <c r="B106" s="32" t="s">
        <v>229</v>
      </c>
      <c r="C106" s="0"/>
      <c r="D106" s="33" t="s">
        <v>230</v>
      </c>
      <c r="E106" s="56" t="n">
        <v>0</v>
      </c>
    </row>
    <row r="107" customFormat="false" ht="15" hidden="false" customHeight="false" outlineLevel="0" collapsed="false">
      <c r="B107" s="32" t="s">
        <v>231</v>
      </c>
      <c r="C107" s="0"/>
      <c r="D107" s="33" t="s">
        <v>232</v>
      </c>
      <c r="E107" s="56" t="n">
        <v>0</v>
      </c>
    </row>
    <row r="108" customFormat="false" ht="15" hidden="false" customHeight="false" outlineLevel="0" collapsed="false">
      <c r="B108" s="32" t="s">
        <v>233</v>
      </c>
      <c r="C108" s="0"/>
      <c r="D108" s="33" t="s">
        <v>234</v>
      </c>
      <c r="E108" s="56" t="n">
        <v>0</v>
      </c>
    </row>
    <row r="109" customFormat="false" ht="15" hidden="false" customHeight="false" outlineLevel="0" collapsed="false">
      <c r="B109" s="32" t="s">
        <v>235</v>
      </c>
      <c r="C109" s="0"/>
      <c r="D109" s="33" t="s">
        <v>236</v>
      </c>
      <c r="E109" s="56" t="n">
        <v>0</v>
      </c>
    </row>
    <row r="110" customFormat="false" ht="15" hidden="false" customHeight="false" outlineLevel="0" collapsed="false">
      <c r="B110" s="32" t="s">
        <v>237</v>
      </c>
      <c r="C110" s="0"/>
      <c r="D110" s="33" t="s">
        <v>238</v>
      </c>
      <c r="E110" s="56" t="n">
        <v>0</v>
      </c>
    </row>
    <row r="111" customFormat="false" ht="15" hidden="false" customHeight="false" outlineLevel="0" collapsed="false">
      <c r="B111" s="32" t="s">
        <v>239</v>
      </c>
      <c r="C111" s="0"/>
      <c r="D111" s="33" t="s">
        <v>240</v>
      </c>
      <c r="E111" s="56" t="n">
        <v>0</v>
      </c>
    </row>
    <row r="112" customFormat="false" ht="15" hidden="false" customHeight="false" outlineLevel="0" collapsed="false">
      <c r="B112" s="32" t="s">
        <v>241</v>
      </c>
      <c r="C112" s="0"/>
      <c r="D112" s="33" t="s">
        <v>242</v>
      </c>
      <c r="E112" s="56" t="n">
        <v>0</v>
      </c>
    </row>
    <row r="113" customFormat="false" ht="15" hidden="false" customHeight="false" outlineLevel="0" collapsed="false">
      <c r="B113" s="32" t="s">
        <v>243</v>
      </c>
      <c r="C113" s="0"/>
      <c r="D113" s="33" t="s">
        <v>244</v>
      </c>
      <c r="E113" s="56" t="n">
        <v>0</v>
      </c>
    </row>
    <row r="114" customFormat="false" ht="15" hidden="false" customHeight="false" outlineLevel="0" collapsed="false">
      <c r="B114" s="32" t="s">
        <v>245</v>
      </c>
      <c r="C114" s="0"/>
      <c r="D114" s="33" t="s">
        <v>246</v>
      </c>
      <c r="E114" s="56" t="n">
        <v>0</v>
      </c>
    </row>
    <row r="115" customFormat="false" ht="15" hidden="false" customHeight="false" outlineLevel="0" collapsed="false">
      <c r="B115" s="32" t="s">
        <v>247</v>
      </c>
      <c r="C115" s="0"/>
      <c r="D115" s="33" t="s">
        <v>248</v>
      </c>
      <c r="E115" s="56" t="n">
        <v>0</v>
      </c>
    </row>
    <row r="116" customFormat="false" ht="15" hidden="false" customHeight="false" outlineLevel="0" collapsed="false">
      <c r="B116" s="32" t="s">
        <v>249</v>
      </c>
      <c r="C116" s="0"/>
      <c r="D116" s="33" t="s">
        <v>250</v>
      </c>
      <c r="E116" s="56" t="n">
        <f aca="false">ABS(-0.01283046)</f>
        <v>0.01283046</v>
      </c>
    </row>
    <row r="117" customFormat="false" ht="15" hidden="false" customHeight="false" outlineLevel="0" collapsed="false">
      <c r="B117" s="32" t="s">
        <v>251</v>
      </c>
      <c r="C117" s="0"/>
      <c r="D117" s="33" t="s">
        <v>252</v>
      </c>
      <c r="E117" s="56" t="n">
        <f aca="false">ABS(-0.02121569)</f>
        <v>0.02121569</v>
      </c>
    </row>
    <row r="118" customFormat="false" ht="15" hidden="false" customHeight="false" outlineLevel="0" collapsed="false">
      <c r="B118" s="32" t="s">
        <v>253</v>
      </c>
      <c r="C118" s="0"/>
      <c r="D118" s="33" t="s">
        <v>254</v>
      </c>
      <c r="E118" s="56" t="n">
        <v>0.04395164</v>
      </c>
    </row>
    <row r="119" customFormat="false" ht="15" hidden="false" customHeight="false" outlineLevel="0" collapsed="false">
      <c r="B119" s="32" t="s">
        <v>255</v>
      </c>
      <c r="C119" s="0"/>
      <c r="D119" s="33" t="s">
        <v>256</v>
      </c>
      <c r="E119" s="56" t="n">
        <v>0</v>
      </c>
    </row>
    <row r="120" customFormat="false" ht="15" hidden="false" customHeight="false" outlineLevel="0" collapsed="false">
      <c r="B120" s="32" t="s">
        <v>257</v>
      </c>
      <c r="C120" s="0"/>
      <c r="D120" s="33" t="s">
        <v>258</v>
      </c>
      <c r="E120" s="56" t="n">
        <f aca="false">ABS(-0.04075641)</f>
        <v>0.04075641</v>
      </c>
    </row>
    <row r="121" customFormat="false" ht="15" hidden="false" customHeight="false" outlineLevel="0" collapsed="false">
      <c r="B121" s="32" t="s">
        <v>259</v>
      </c>
      <c r="C121" s="0"/>
      <c r="D121" s="33" t="s">
        <v>260</v>
      </c>
      <c r="E121" s="56" t="n">
        <f aca="false">ABS(-0.00909423)</f>
        <v>0.00909423</v>
      </c>
    </row>
    <row r="122" customFormat="false" ht="15" hidden="false" customHeight="false" outlineLevel="0" collapsed="false">
      <c r="B122" s="32" t="s">
        <v>261</v>
      </c>
      <c r="C122" s="0"/>
      <c r="D122" s="33" t="s">
        <v>262</v>
      </c>
      <c r="E122" s="56" t="n">
        <f aca="false">ABS(-0.01156819)</f>
        <v>0.01156819</v>
      </c>
    </row>
    <row r="123" customFormat="false" ht="15" hidden="false" customHeight="false" outlineLevel="0" collapsed="false">
      <c r="B123" s="32" t="s">
        <v>263</v>
      </c>
      <c r="C123" s="0"/>
      <c r="D123" s="33" t="s">
        <v>264</v>
      </c>
      <c r="E123" s="56" t="n">
        <f aca="false">ABS(-0.02455008)</f>
        <v>0.02455008</v>
      </c>
    </row>
    <row r="124" customFormat="false" ht="15" hidden="false" customHeight="false" outlineLevel="0" collapsed="false">
      <c r="B124" s="32" t="s">
        <v>265</v>
      </c>
      <c r="C124" s="0"/>
      <c r="D124" s="33" t="s">
        <v>266</v>
      </c>
      <c r="E124" s="56" t="n">
        <v>0</v>
      </c>
    </row>
    <row r="125" customFormat="false" ht="15" hidden="false" customHeight="false" outlineLevel="0" collapsed="false">
      <c r="B125" s="32" t="s">
        <v>267</v>
      </c>
      <c r="C125" s="0"/>
      <c r="D125" s="33" t="s">
        <v>268</v>
      </c>
      <c r="E125" s="56" t="n">
        <f aca="false">ABS(-0.12830463)</f>
        <v>0.12830463</v>
      </c>
    </row>
    <row r="126" customFormat="false" ht="15" hidden="false" customHeight="false" outlineLevel="0" collapsed="false">
      <c r="B126" s="32" t="s">
        <v>269</v>
      </c>
      <c r="C126" s="0"/>
      <c r="D126" s="33" t="s">
        <v>270</v>
      </c>
      <c r="E126" s="56" t="n">
        <f aca="false">ABS(-0.0051551)</f>
        <v>0.0051551</v>
      </c>
    </row>
    <row r="127" customFormat="false" ht="15" hidden="false" customHeight="false" outlineLevel="0" collapsed="false">
      <c r="B127" s="32" t="s">
        <v>271</v>
      </c>
      <c r="C127" s="0"/>
      <c r="D127" s="33" t="s">
        <v>272</v>
      </c>
      <c r="E127" s="56" t="n">
        <v>0</v>
      </c>
    </row>
    <row r="128" customFormat="false" ht="15" hidden="false" customHeight="false" outlineLevel="0" collapsed="false">
      <c r="B128" s="32" t="s">
        <v>273</v>
      </c>
      <c r="C128" s="0"/>
      <c r="D128" s="33" t="s">
        <v>274</v>
      </c>
      <c r="E128" s="56" t="n">
        <v>0</v>
      </c>
    </row>
    <row r="129" customFormat="false" ht="15" hidden="false" customHeight="false" outlineLevel="0" collapsed="false">
      <c r="B129" s="32" t="s">
        <v>275</v>
      </c>
      <c r="C129" s="0"/>
      <c r="D129" s="33" t="s">
        <v>276</v>
      </c>
      <c r="E129" s="56" t="n">
        <f aca="false">ABS(-0.09094234)</f>
        <v>0.09094234</v>
      </c>
    </row>
    <row r="130" customFormat="false" ht="15" hidden="false" customHeight="false" outlineLevel="0" collapsed="false">
      <c r="B130" s="32" t="s">
        <v>277</v>
      </c>
      <c r="C130" s="0"/>
      <c r="D130" s="33" t="s">
        <v>278</v>
      </c>
      <c r="E130" s="56" t="n">
        <v>0.00150714</v>
      </c>
    </row>
    <row r="131" customFormat="false" ht="15" hidden="false" customHeight="false" outlineLevel="0" collapsed="false">
      <c r="B131" s="32" t="s">
        <v>279</v>
      </c>
      <c r="C131" s="0"/>
      <c r="D131" s="33" t="s">
        <v>280</v>
      </c>
      <c r="E131" s="56" t="n">
        <v>0.46869926</v>
      </c>
    </row>
    <row r="132" customFormat="false" ht="15" hidden="false" customHeight="false" outlineLevel="0" collapsed="false">
      <c r="B132" s="32" t="s">
        <v>281</v>
      </c>
      <c r="C132" s="0"/>
      <c r="D132" s="33" t="s">
        <v>282</v>
      </c>
      <c r="E132" s="56" t="n">
        <f aca="false">ABS(-0.21215694)</f>
        <v>0.21215694</v>
      </c>
    </row>
    <row r="133" customFormat="false" ht="15" hidden="false" customHeight="false" outlineLevel="0" collapsed="false">
      <c r="B133" s="32" t="s">
        <v>283</v>
      </c>
      <c r="C133" s="0"/>
      <c r="D133" s="33" t="s">
        <v>284</v>
      </c>
      <c r="E133" s="56" t="n">
        <v>0.00317971</v>
      </c>
    </row>
    <row r="134" customFormat="false" ht="15" hidden="false" customHeight="false" outlineLevel="0" collapsed="false">
      <c r="B134" s="32" t="s">
        <v>285</v>
      </c>
      <c r="C134" s="0"/>
      <c r="D134" s="33" t="s">
        <v>286</v>
      </c>
      <c r="E134" s="56" t="n">
        <f aca="false">ABS(-0.01164623)</f>
        <v>0.01164623</v>
      </c>
    </row>
    <row r="135" customFormat="false" ht="15" hidden="false" customHeight="false" outlineLevel="0" collapsed="false">
      <c r="B135" s="32" t="s">
        <v>287</v>
      </c>
      <c r="C135" s="0"/>
      <c r="D135" s="33" t="s">
        <v>288</v>
      </c>
      <c r="E135" s="56" t="n">
        <v>0.10330915</v>
      </c>
    </row>
    <row r="136" customFormat="false" ht="15" hidden="false" customHeight="false" outlineLevel="0" collapsed="false">
      <c r="B136" s="32" t="s">
        <v>289</v>
      </c>
      <c r="C136" s="0"/>
      <c r="D136" s="33" t="s">
        <v>290</v>
      </c>
      <c r="E136" s="56" t="n">
        <f aca="false">ABS(-0.11568189)</f>
        <v>0.11568189</v>
      </c>
    </row>
    <row r="137" customFormat="false" ht="15" hidden="false" customHeight="false" outlineLevel="0" collapsed="false">
      <c r="B137" s="32" t="s">
        <v>291</v>
      </c>
      <c r="C137" s="0"/>
      <c r="D137" s="33" t="s">
        <v>292</v>
      </c>
      <c r="E137" s="56" t="n">
        <v>0.01507138</v>
      </c>
    </row>
    <row r="138" customFormat="false" ht="15" hidden="false" customHeight="false" outlineLevel="0" collapsed="false">
      <c r="B138" s="32" t="s">
        <v>293</v>
      </c>
      <c r="C138" s="0"/>
      <c r="D138" s="33" t="s">
        <v>294</v>
      </c>
      <c r="E138" s="56" t="n">
        <v>0.05978528</v>
      </c>
    </row>
    <row r="139" customFormat="false" ht="15" hidden="false" customHeight="false" outlineLevel="0" collapsed="false">
      <c r="B139" s="32" t="s">
        <v>295</v>
      </c>
      <c r="C139" s="51"/>
      <c r="D139" s="33" t="s">
        <v>296</v>
      </c>
      <c r="E139" s="56" t="n">
        <f aca="false">ABS(-0.05155105)</f>
        <v>0.05155105</v>
      </c>
    </row>
    <row r="140" customFormat="false" ht="15" hidden="false" customHeight="false" outlineLevel="0" collapsed="false">
      <c r="B140" s="52" t="s">
        <v>297</v>
      </c>
      <c r="D140" s="53" t="s">
        <v>298</v>
      </c>
      <c r="E140" s="57" t="n">
        <f aca="false">ABS(-0.11646226)</f>
        <v>0.11646226</v>
      </c>
    </row>
  </sheetData>
  <mergeCells count="9">
    <mergeCell ref="A1:P2"/>
    <mergeCell ref="G4:H4"/>
    <mergeCell ref="K4:L4"/>
    <mergeCell ref="D5:E5"/>
    <mergeCell ref="G9:H9"/>
    <mergeCell ref="K9:L9"/>
    <mergeCell ref="G15:H15"/>
    <mergeCell ref="K16:L16"/>
    <mergeCell ref="G29:H2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20</TotalTime>
  <Application>LibreOffice/5.0.5.2$Linux_X86_64 LibreOffice_project/00m0$Build-2</Application>
  <Company>Toshiba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2016-02-23T16:02:57Z</dcterms:created>
  <dc:creator>Kim</dc:creator>
  <dc:language>en-GB</dc:language>
  <cp:lastPrinted>2016-02-23T16:22:07Z</cp:lastPrinted>
  <dcterms:modified xsi:type="dcterms:W3CDTF">2016-04-13T17:49:59Z</dcterms:modified>
  <cp:revision>3</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Toshiba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