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https://ragleinc0.sharepoint.com/TXDOCS/Equipment/35. EQUIPMENT DOCS (BRETTS INTERNAL DOCS)/00. Equipment Monthly Billings/"/>
    </mc:Choice>
  </mc:AlternateContent>
  <xr:revisionPtr revIDLastSave="0" documentId="8_{391F3073-3504-4EF0-BB5D-7AA78C1DC76A}" xr6:coauthVersionLast="47" xr6:coauthVersionMax="47" xr10:uidLastSave="{00000000-0000-0000-0000-000000000000}"/>
  <bookViews>
    <workbookView xWindow="-120" yWindow="-120" windowWidth="29040" windowHeight="15720" firstSheet="8" activeTab="8" xr2:uid="{E7C7FCB7-E55E-4A3D-9DD9-8DB5A2799A7A}"/>
  </bookViews>
  <sheets>
    <sheet name="Summary" sheetId="3" r:id="rId1"/>
    <sheet name="Division%" sheetId="11" r:id="rId2"/>
    <sheet name="QTR1" sheetId="1" r:id="rId3"/>
    <sheet name="QTR2" sheetId="2" r:id="rId4"/>
    <sheet name="QTR3" sheetId="4" r:id="rId5"/>
    <sheet name="QTR4" sheetId="5" r:id="rId6"/>
    <sheet name="Disposals" sheetId="6" r:id="rId7"/>
    <sheet name="Forecast" sheetId="8" r:id="rId8"/>
    <sheet name="Acct" sheetId="10" r:id="rId9"/>
    <sheet name="2022 EoY Recon" sheetId="9" state="hidden" r:id="rId10"/>
  </sheets>
  <definedNames>
    <definedName name="_xlnm._FilterDatabase" localSheetId="8" hidden="1">Acct!$A$5:$X$111</definedName>
    <definedName name="_xlnm._FilterDatabase" localSheetId="6" hidden="1">Disposals!$A$30:$H$77</definedName>
    <definedName name="_xlnm._FilterDatabase" localSheetId="7" hidden="1">Forecast!$A$18:$D$42</definedName>
    <definedName name="_xlnm._FilterDatabase" localSheetId="2" hidden="1">'QTR1'!$A$28:$I$63</definedName>
    <definedName name="_xlnm._FilterDatabase" localSheetId="3" hidden="1">'QTR2'!$A$38:$I$54</definedName>
    <definedName name="_xlnm._FilterDatabase" localSheetId="4" hidden="1">'QTR3'!$A$33:$I$54</definedName>
    <definedName name="_xlnm._FilterDatabase" localSheetId="5" hidden="1">'QTR4'!$A$26:$I$72</definedName>
    <definedName name="_xlnm.Print_Area" localSheetId="0">Summary!$A:$F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2" l="1"/>
  <c r="I7" i="2"/>
  <c r="I40" i="2"/>
  <c r="O40" i="2"/>
  <c r="F8" i="1"/>
  <c r="F39" i="2"/>
  <c r="I39" i="2" l="1"/>
  <c r="I14" i="1"/>
  <c r="I15" i="1"/>
  <c r="I16" i="1"/>
  <c r="F45" i="1" l="1"/>
  <c r="F44" i="1"/>
  <c r="F43" i="1"/>
  <c r="I17" i="1" l="1"/>
  <c r="I18" i="1"/>
  <c r="O6" i="1"/>
  <c r="O7" i="1"/>
  <c r="F9" i="1"/>
  <c r="K98" i="1"/>
  <c r="K62" i="1"/>
  <c r="I52" i="1" l="1"/>
  <c r="I53" i="1"/>
  <c r="I54" i="1"/>
  <c r="I55" i="1"/>
  <c r="I56" i="1"/>
  <c r="I57" i="1"/>
  <c r="I58" i="1"/>
  <c r="I50" i="1"/>
  <c r="O31" i="1"/>
  <c r="O29" i="1"/>
  <c r="F40" i="1"/>
  <c r="F39" i="1"/>
  <c r="F38" i="1"/>
  <c r="F37" i="1"/>
  <c r="O40" i="5"/>
  <c r="O39" i="5"/>
  <c r="O38" i="5"/>
  <c r="O7" i="5"/>
  <c r="O6" i="5"/>
  <c r="O5" i="5"/>
  <c r="O36" i="4"/>
  <c r="O35" i="4"/>
  <c r="O34" i="4"/>
  <c r="O7" i="4"/>
  <c r="O6" i="4"/>
  <c r="O5" i="4"/>
  <c r="O41" i="2"/>
  <c r="O39" i="2"/>
  <c r="O7" i="2"/>
  <c r="O6" i="2"/>
  <c r="O5" i="2"/>
  <c r="I60" i="1"/>
  <c r="I61" i="1"/>
  <c r="H124" i="10" l="1"/>
  <c r="I70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9" i="5"/>
  <c r="I68" i="5"/>
  <c r="I18" i="5"/>
  <c r="I19" i="5"/>
  <c r="I5" i="5"/>
  <c r="I6" i="5"/>
  <c r="I7" i="5"/>
  <c r="I8" i="5"/>
  <c r="I9" i="5"/>
  <c r="I10" i="5"/>
  <c r="I11" i="5"/>
  <c r="I12" i="5"/>
  <c r="I13" i="5"/>
  <c r="I14" i="5"/>
  <c r="I15" i="5"/>
  <c r="I17" i="5"/>
  <c r="I16" i="5"/>
  <c r="I52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1" i="4"/>
  <c r="I50" i="4"/>
  <c r="I25" i="4"/>
  <c r="I26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4" i="4"/>
  <c r="I23" i="4"/>
  <c r="I52" i="2"/>
  <c r="I41" i="2"/>
  <c r="I42" i="2"/>
  <c r="I43" i="2"/>
  <c r="I44" i="2"/>
  <c r="I45" i="2"/>
  <c r="I46" i="2"/>
  <c r="I47" i="2"/>
  <c r="I48" i="2"/>
  <c r="I49" i="2"/>
  <c r="I51" i="2"/>
  <c r="I50" i="2"/>
  <c r="I28" i="2"/>
  <c r="I29" i="2"/>
  <c r="I30" i="2"/>
  <c r="I5" i="2"/>
  <c r="I6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7" i="2"/>
  <c r="I26" i="2"/>
  <c r="I59" i="1"/>
  <c r="I30" i="1"/>
  <c r="I31" i="1"/>
  <c r="I32" i="1"/>
  <c r="I33" i="1"/>
  <c r="I35" i="1"/>
  <c r="I36" i="1"/>
  <c r="I37" i="1"/>
  <c r="I38" i="1"/>
  <c r="I39" i="1"/>
  <c r="I40" i="1"/>
  <c r="I41" i="1"/>
  <c r="I95" i="1"/>
  <c r="I96" i="1"/>
  <c r="I42" i="1"/>
  <c r="I93" i="1"/>
  <c r="I94" i="1"/>
  <c r="I43" i="1"/>
  <c r="I44" i="1"/>
  <c r="I45" i="1"/>
  <c r="I47" i="1"/>
  <c r="I48" i="1"/>
  <c r="I49" i="1"/>
  <c r="I20" i="1"/>
  <c r="I21" i="1"/>
  <c r="I22" i="1"/>
  <c r="I19" i="1"/>
  <c r="I8" i="1"/>
  <c r="I9" i="1"/>
  <c r="I10" i="1"/>
  <c r="I11" i="1"/>
  <c r="I12" i="1"/>
  <c r="I13" i="1"/>
  <c r="F67" i="1"/>
  <c r="I46" i="1"/>
  <c r="H123" i="10" l="1"/>
  <c r="F7" i="1"/>
  <c r="I7" i="1" s="1"/>
  <c r="F6" i="1"/>
  <c r="I6" i="1" s="1"/>
  <c r="H91" i="1" l="1"/>
  <c r="G91" i="1"/>
  <c r="F91" i="1"/>
  <c r="I29" i="1"/>
  <c r="H115" i="10"/>
  <c r="F5" i="1" l="1"/>
  <c r="H116" i="10"/>
  <c r="F34" i="1"/>
  <c r="O30" i="1" s="1"/>
  <c r="F24" i="1" l="1"/>
  <c r="O5" i="1"/>
  <c r="O69" i="1" s="1"/>
  <c r="I34" i="1"/>
  <c r="F64" i="1"/>
  <c r="I5" i="1"/>
  <c r="I23" i="1" s="1"/>
  <c r="F73" i="5"/>
  <c r="F7" i="3" s="1"/>
  <c r="F72" i="5" l="1"/>
  <c r="N6" i="3"/>
  <c r="O70" i="5"/>
  <c r="O69" i="5"/>
  <c r="F4" i="11"/>
  <c r="E63" i="6" l="1"/>
  <c r="F22" i="5" l="1"/>
  <c r="C7" i="3" s="1"/>
  <c r="F55" i="4"/>
  <c r="F6" i="3" s="1"/>
  <c r="O68" i="5" l="1"/>
  <c r="F21" i="5"/>
  <c r="K7" i="3" s="1"/>
  <c r="F28" i="4"/>
  <c r="K6" i="3" s="1"/>
  <c r="E25" i="6"/>
  <c r="I21" i="5" l="1"/>
  <c r="I22" i="5" s="1"/>
  <c r="F54" i="2"/>
  <c r="N5" i="3" s="1"/>
  <c r="F6" i="11"/>
  <c r="B6" i="11"/>
  <c r="F23" i="1"/>
  <c r="K4" i="3" s="1"/>
  <c r="F55" i="2"/>
  <c r="F5" i="3" s="1"/>
  <c r="F29" i="4" l="1"/>
  <c r="C6" i="3" s="1"/>
  <c r="I54" i="4"/>
  <c r="I55" i="4" s="1"/>
  <c r="O9" i="4"/>
  <c r="P7" i="4" s="1"/>
  <c r="F33" i="2"/>
  <c r="K5" i="3" s="1"/>
  <c r="H75" i="10"/>
  <c r="H74" i="10"/>
  <c r="P5" i="4" l="1"/>
  <c r="O10" i="4"/>
  <c r="H17" i="10"/>
  <c r="O71" i="1" l="1"/>
  <c r="F34" i="2" l="1"/>
  <c r="C5" i="3" s="1"/>
  <c r="B4" i="11"/>
  <c r="F63" i="1"/>
  <c r="N4" i="3" s="1"/>
  <c r="H3" i="10"/>
  <c r="F5" i="11" l="1"/>
  <c r="B5" i="11"/>
  <c r="B10" i="11" s="1"/>
  <c r="C4" i="11" s="1"/>
  <c r="F4" i="3"/>
  <c r="C4" i="3"/>
  <c r="C5" i="11" l="1"/>
  <c r="C6" i="11"/>
  <c r="O11" i="1"/>
  <c r="P7" i="1" s="1"/>
  <c r="O70" i="1"/>
  <c r="P5" i="1" l="1"/>
  <c r="O12" i="1"/>
  <c r="P6" i="1"/>
  <c r="O63" i="4"/>
  <c r="O8" i="5"/>
  <c r="P6" i="5" l="1"/>
  <c r="O9" i="5"/>
  <c r="F10" i="11"/>
  <c r="G5" i="11" s="1"/>
  <c r="O38" i="4"/>
  <c r="P36" i="4" s="1"/>
  <c r="P7" i="5"/>
  <c r="O71" i="5"/>
  <c r="P70" i="5" s="1"/>
  <c r="K8" i="3"/>
  <c r="P5" i="5"/>
  <c r="O42" i="5"/>
  <c r="O43" i="2"/>
  <c r="O59" i="2"/>
  <c r="C33" i="3" s="1"/>
  <c r="O57" i="2"/>
  <c r="O61" i="4"/>
  <c r="O44" i="2" l="1"/>
  <c r="P40" i="2"/>
  <c r="C31" i="3"/>
  <c r="P34" i="4"/>
  <c r="O39" i="4"/>
  <c r="P38" i="5"/>
  <c r="O43" i="5"/>
  <c r="G4" i="11"/>
  <c r="G6" i="11"/>
  <c r="P68" i="5"/>
  <c r="P69" i="5"/>
  <c r="P41" i="2"/>
  <c r="P39" i="2"/>
  <c r="P39" i="5"/>
  <c r="P40" i="5"/>
  <c r="O62" i="4"/>
  <c r="P35" i="4"/>
  <c r="O64" i="4" l="1"/>
  <c r="P61" i="4" s="1"/>
  <c r="P6" i="4"/>
  <c r="O35" i="1" l="1"/>
  <c r="O9" i="2"/>
  <c r="O58" i="2"/>
  <c r="P62" i="4"/>
  <c r="O36" i="1" l="1"/>
  <c r="P31" i="1"/>
  <c r="C32" i="3"/>
  <c r="P6" i="2"/>
  <c r="O10" i="2"/>
  <c r="P5" i="2"/>
  <c r="P7" i="2"/>
  <c r="P29" i="1"/>
  <c r="P30" i="1"/>
  <c r="O60" i="2"/>
  <c r="O72" i="1"/>
  <c r="C8" i="3"/>
  <c r="B12" i="11" s="1"/>
  <c r="P70" i="1" l="1"/>
  <c r="P71" i="1"/>
  <c r="P69" i="1"/>
  <c r="P59" i="2"/>
  <c r="P57" i="2"/>
  <c r="P58" i="2"/>
  <c r="C35" i="3"/>
  <c r="D33" i="3" s="1"/>
  <c r="D32" i="3" l="1"/>
  <c r="D31" i="3"/>
  <c r="I28" i="4" l="1"/>
  <c r="I33" i="2" l="1"/>
  <c r="C26" i="8" l="1"/>
  <c r="E26" i="8" l="1"/>
  <c r="K26" i="8"/>
  <c r="C15" i="8"/>
  <c r="K15" i="8" s="1"/>
  <c r="E15" i="8" l="1"/>
  <c r="F16" i="3"/>
  <c r="C16" i="3"/>
  <c r="E30" i="8" l="1"/>
  <c r="P16" i="3" s="1"/>
  <c r="I34" i="2" l="1"/>
  <c r="I29" i="4" l="1"/>
  <c r="I59" i="4" s="1"/>
  <c r="I54" i="2"/>
  <c r="I55" i="2" l="1"/>
  <c r="I61" i="2" s="1"/>
  <c r="I72" i="5" l="1"/>
  <c r="I73" i="5" s="1"/>
  <c r="I77" i="5" s="1"/>
  <c r="F23" i="5" l="1"/>
  <c r="F56" i="4" l="1"/>
  <c r="F30" i="4" l="1"/>
  <c r="F56" i="2" l="1"/>
  <c r="F65" i="1"/>
  <c r="F69" i="1" s="1"/>
  <c r="F25" i="1"/>
  <c r="F35" i="2"/>
  <c r="I63" i="1" l="1"/>
  <c r="I64" i="1" s="1"/>
  <c r="F8" i="3"/>
  <c r="C19" i="3"/>
  <c r="F19" i="3" l="1"/>
  <c r="C23" i="3" s="1"/>
  <c r="F12" i="11"/>
  <c r="I24" i="1"/>
  <c r="C12" i="3"/>
  <c r="S12" i="3" s="1"/>
  <c r="H4" i="10" l="1"/>
  <c r="S23" i="3"/>
  <c r="I69" i="1"/>
  <c r="P12" i="3" s="1"/>
  <c r="P23" i="3" l="1"/>
  <c r="N7" i="3" l="1"/>
  <c r="N8" i="3" s="1"/>
  <c r="K12" i="3" s="1"/>
  <c r="I37" i="3" s="1"/>
  <c r="F74" i="5"/>
</calcChain>
</file>

<file path=xl/sharedStrings.xml><?xml version="1.0" encoding="utf-8"?>
<sst xmlns="http://schemas.openxmlformats.org/spreadsheetml/2006/main" count="1412" uniqueCount="627">
  <si>
    <t>2025  Ragle Inc. Asset Purchase and Forecast</t>
  </si>
  <si>
    <t xml:space="preserve">2025  Ragle Inc. Major Repairs </t>
  </si>
  <si>
    <t>Midwest</t>
  </si>
  <si>
    <t>South</t>
  </si>
  <si>
    <t>QTR1</t>
  </si>
  <si>
    <t>QTR2</t>
  </si>
  <si>
    <t>QTR3</t>
  </si>
  <si>
    <t>QTR4</t>
  </si>
  <si>
    <t>Total Purchased</t>
  </si>
  <si>
    <t>Total  - Major Repairs</t>
  </si>
  <si>
    <t>Total 12 month Depre increase on purchases</t>
  </si>
  <si>
    <t>Interest at 7% over 5 years</t>
  </si>
  <si>
    <t>Forecast</t>
  </si>
  <si>
    <t>Total 12 month Expected Depre increase</t>
  </si>
  <si>
    <t>Divisional Total 2025</t>
  </si>
  <si>
    <t>Total  - Purchase and Expected</t>
  </si>
  <si>
    <t>Total 12 Month Depre Increase - Purchase and Expected</t>
  </si>
  <si>
    <t>Total Type Purchased</t>
  </si>
  <si>
    <t>$</t>
  </si>
  <si>
    <t>%</t>
  </si>
  <si>
    <t>Total Equipment</t>
  </si>
  <si>
    <t>Total Vehicles</t>
  </si>
  <si>
    <t>Total Trailer</t>
  </si>
  <si>
    <t xml:space="preserve">Total </t>
  </si>
  <si>
    <t>Equipment</t>
  </si>
  <si>
    <t>Vehicle</t>
  </si>
  <si>
    <t>Trailer</t>
  </si>
  <si>
    <t>QTR 1 2025</t>
  </si>
  <si>
    <t>MIDWEST</t>
  </si>
  <si>
    <t>EQ Number</t>
  </si>
  <si>
    <t>Item Category</t>
  </si>
  <si>
    <t>Description</t>
  </si>
  <si>
    <t xml:space="preserve">Serial #/VIN </t>
  </si>
  <si>
    <t>Purchase Date</t>
  </si>
  <si>
    <t>Cost</t>
  </si>
  <si>
    <t>Salvage</t>
  </si>
  <si>
    <t>Useful Life (yr)</t>
  </si>
  <si>
    <t>Monthly Depreciation</t>
  </si>
  <si>
    <t>TRX NO / GL Audit #</t>
  </si>
  <si>
    <t>EX-83</t>
  </si>
  <si>
    <t>MAJOR EQUIPMENT</t>
  </si>
  <si>
    <t>2018 CAT 308 FJX12320 (EX-83)</t>
  </si>
  <si>
    <t>FJX12320</t>
  </si>
  <si>
    <t>309475/5292</t>
  </si>
  <si>
    <t>EXA-21</t>
  </si>
  <si>
    <t>MINOR EQUIPMENT</t>
  </si>
  <si>
    <t>54" SLAB GRAB (EXA-21)</t>
  </si>
  <si>
    <t>EXA-22</t>
  </si>
  <si>
    <t>WRECKING BALL (EXA-22)</t>
  </si>
  <si>
    <t>PT-285</t>
  </si>
  <si>
    <t>VEHICLES</t>
  </si>
  <si>
    <t>2023 F250 (D74056) PT-285</t>
  </si>
  <si>
    <t>1FTBF2AAXPED74056</t>
  </si>
  <si>
    <t>314204/5351</t>
  </si>
  <si>
    <t>PT-286</t>
  </si>
  <si>
    <t>2024 F250 (E72376) PT-286</t>
  </si>
  <si>
    <t>1FTBF2BA1REE72376</t>
  </si>
  <si>
    <t>PT-287</t>
  </si>
  <si>
    <t>2024 F250 (E93483) PT-287</t>
  </si>
  <si>
    <t>1FTBF2BA8REE93483</t>
  </si>
  <si>
    <t>PT-288</t>
  </si>
  <si>
    <t>2024 F250 (F06775) PT-288</t>
  </si>
  <si>
    <t>1FTBF2BA0REF06775</t>
  </si>
  <si>
    <t>PT-289</t>
  </si>
  <si>
    <t>2024 F250 (D50105) PT-289</t>
  </si>
  <si>
    <t>1FTRF2BA9RED50105</t>
  </si>
  <si>
    <t>PT-290</t>
  </si>
  <si>
    <t>2024 F250 (D01220) PT-290</t>
  </si>
  <si>
    <t>1FTBF2BA4RED01220</t>
  </si>
  <si>
    <t>WL-14</t>
  </si>
  <si>
    <t>2020 CAT 938M (R08501) WL-14</t>
  </si>
  <si>
    <t>J3R08501</t>
  </si>
  <si>
    <t>LT-02</t>
  </si>
  <si>
    <t>2021 FL M2 (B8540) LT-02</t>
  </si>
  <si>
    <t>3ALACXFC5MDLB8540</t>
  </si>
  <si>
    <t>EX-79*</t>
  </si>
  <si>
    <t xml:space="preserve">MAJOR EQUIPMENT </t>
  </si>
  <si>
    <t>EX-79 HYD VALVE REPLACEMENT</t>
  </si>
  <si>
    <t>Major Repairs</t>
  </si>
  <si>
    <t>Depre Cost</t>
  </si>
  <si>
    <t>12 mo Cost</t>
  </si>
  <si>
    <t>TOTAL</t>
  </si>
  <si>
    <t>SOUTH</t>
  </si>
  <si>
    <t>Division</t>
  </si>
  <si>
    <t>MT-15</t>
  </si>
  <si>
    <t>2024 F550 MT (E60786) MT-15</t>
  </si>
  <si>
    <t>1FD0X5HT1REE60786</t>
  </si>
  <si>
    <t>311570/311586</t>
  </si>
  <si>
    <t>EDT-01</t>
  </si>
  <si>
    <t>TRAILERS</t>
  </si>
  <si>
    <t>2025 END DTRL (H054895) EDT-01</t>
  </si>
  <si>
    <t>4B9BKDG22SH054895</t>
  </si>
  <si>
    <t>EDT-02</t>
  </si>
  <si>
    <t>2025 END DTRL (H054896) EDT-02</t>
  </si>
  <si>
    <t>4B9BKDG24SH054896</t>
  </si>
  <si>
    <t>EDT-03</t>
  </si>
  <si>
    <t>2025 END DTRL (H054897) EDT-03</t>
  </si>
  <si>
    <t>4B9BKDG26SH054897</t>
  </si>
  <si>
    <t>EDT-04</t>
  </si>
  <si>
    <t>2025 END DTRL (H054898) EDT-04</t>
  </si>
  <si>
    <t>4B9BKDG28SH054898</t>
  </si>
  <si>
    <t>MT-16</t>
  </si>
  <si>
    <t>2013 KW T370 FL (362371) MT-16</t>
  </si>
  <si>
    <t>2NKHHM7X5DM362371</t>
  </si>
  <si>
    <t>311577/313593</t>
  </si>
  <si>
    <t>PT-283</t>
  </si>
  <si>
    <t>2024 F250 (F26630) PT-283</t>
  </si>
  <si>
    <t>1FT7W2AA9REF26630</t>
  </si>
  <si>
    <t>PT-284</t>
  </si>
  <si>
    <t>2024 F250 (F26104) PT-284</t>
  </si>
  <si>
    <t>1FT7W2AAXREF26104</t>
  </si>
  <si>
    <t>S-11</t>
  </si>
  <si>
    <t>2017 MACK CXU613 (079522) S-11</t>
  </si>
  <si>
    <t>1M1AW09Y5HM079522</t>
  </si>
  <si>
    <t>311907/315578</t>
  </si>
  <si>
    <t>PAINT - $7000</t>
  </si>
  <si>
    <t>S-12</t>
  </si>
  <si>
    <t>2018 MACK CXU613 (085765) S-12</t>
  </si>
  <si>
    <t>1M1AW09Y9JM085765</t>
  </si>
  <si>
    <t>311907/315580</t>
  </si>
  <si>
    <t>PAINT - $7750</t>
  </si>
  <si>
    <t>S-13</t>
  </si>
  <si>
    <t>2018 MACK CXU613 (086733) S-13</t>
  </si>
  <si>
    <t>1M1AW09Y1JM086733</t>
  </si>
  <si>
    <t>311907/315581</t>
  </si>
  <si>
    <t>S-14</t>
  </si>
  <si>
    <t>2018 MACK CXU613 (085764) S-14</t>
  </si>
  <si>
    <t>1M1AW09Y7JM085764</t>
  </si>
  <si>
    <t>311907/315583</t>
  </si>
  <si>
    <t>EX-84</t>
  </si>
  <si>
    <t>2024 CAT 336 08C (L20433) EX-84</t>
  </si>
  <si>
    <t>0RDL20433</t>
  </si>
  <si>
    <t>D-26</t>
  </si>
  <si>
    <t>2024 CAT D5LGP (A02869) D-26</t>
  </si>
  <si>
    <t>0Z6A02869</t>
  </si>
  <si>
    <t>WL-11</t>
  </si>
  <si>
    <t>2019 CAT 950M (S02294) WL-11</t>
  </si>
  <si>
    <t>J1S02294</t>
  </si>
  <si>
    <t>315047/314051</t>
  </si>
  <si>
    <t>WL-12</t>
  </si>
  <si>
    <t>2022 CAT 938M (K03394) WL-12</t>
  </si>
  <si>
    <t>P5K03394</t>
  </si>
  <si>
    <t>314823/314063</t>
  </si>
  <si>
    <t>WL-13</t>
  </si>
  <si>
    <t>2019 CAT 938M (R08392) WL-13</t>
  </si>
  <si>
    <t>J3R08392</t>
  </si>
  <si>
    <t>315048/314053</t>
  </si>
  <si>
    <t>TDT-01</t>
  </si>
  <si>
    <t>2024 MT600 (9941) TDT-01</t>
  </si>
  <si>
    <t>4C9PT6022SG229941</t>
  </si>
  <si>
    <t>SS-44</t>
  </si>
  <si>
    <t>2025 CAT 265 CTL (KR404778) SS-44</t>
  </si>
  <si>
    <t>KR404778</t>
  </si>
  <si>
    <t>SS-45</t>
  </si>
  <si>
    <t>2025 CAT 265 CTL (KR405358) SS-45</t>
  </si>
  <si>
    <t>KR405358</t>
  </si>
  <si>
    <t>SS-46</t>
  </si>
  <si>
    <t>2025 CAT 265 CTL (KR405362) SS-46</t>
  </si>
  <si>
    <t>KR405362</t>
  </si>
  <si>
    <t>VT-01</t>
  </si>
  <si>
    <t>2024 VM LP873 (50906) VT-01</t>
  </si>
  <si>
    <t>7NWH19A66RK050906</t>
  </si>
  <si>
    <t>Major Repair</t>
  </si>
  <si>
    <t>Total 12 mo Cost</t>
  </si>
  <si>
    <t>Total Purchase Price</t>
  </si>
  <si>
    <t>Balance to Finance</t>
  </si>
  <si>
    <t>Total Financed Price</t>
  </si>
  <si>
    <t>2024 CAT 330 07E (H50470) EX-84</t>
  </si>
  <si>
    <t>0WCH50470</t>
  </si>
  <si>
    <t>EX-85</t>
  </si>
  <si>
    <t>2024 CAT 336 08C (L20601) EX-85</t>
  </si>
  <si>
    <t>0RDL20601</t>
  </si>
  <si>
    <t>EX-86</t>
  </si>
  <si>
    <t>2024 CAT 336 08C (L20433) EX-86</t>
  </si>
  <si>
    <t>D-27</t>
  </si>
  <si>
    <t>2024 CAT D6 20C (TBD) D-27</t>
  </si>
  <si>
    <t>TBD</t>
  </si>
  <si>
    <t>D-28</t>
  </si>
  <si>
    <t>2024 CAT D6 (TBD) D-28</t>
  </si>
  <si>
    <t>2024 CAT D6 20C (049021) D-27</t>
  </si>
  <si>
    <t>HLK049021</t>
  </si>
  <si>
    <t>CANCELLED</t>
  </si>
  <si>
    <t>2024 CAT D6 (049022) D-28</t>
  </si>
  <si>
    <t>HLK049022</t>
  </si>
  <si>
    <t>2024 CAT 335 07D (0XBE40087) EX-86</t>
  </si>
  <si>
    <t>0XBE40087</t>
  </si>
  <si>
    <t>QTR 2 2025</t>
  </si>
  <si>
    <t>2025 CAT 336-08 (30098) EX-85</t>
  </si>
  <si>
    <t>RDL30098</t>
  </si>
  <si>
    <t>2019 CAT D5K2 LGP (207436) D-27</t>
  </si>
  <si>
    <t>KY207436</t>
  </si>
  <si>
    <t>CHIP-01</t>
  </si>
  <si>
    <t>2005 ETNYRE K SPREADER (K6068) CHIP-01</t>
  </si>
  <si>
    <t>K6068</t>
  </si>
  <si>
    <t>319551 / 319572</t>
  </si>
  <si>
    <t>SSA-26</t>
  </si>
  <si>
    <t>2023 CAT CV119 (01035) SSA-26</t>
  </si>
  <si>
    <t>RCZ01035</t>
  </si>
  <si>
    <t>Divison</t>
  </si>
  <si>
    <t>CM-05</t>
  </si>
  <si>
    <t>2025 WS ZIM-MIXER (Y5772) CM-05</t>
  </si>
  <si>
    <t>5KKMBPFM7SLVY5772</t>
  </si>
  <si>
    <t>Need to post and then do JE</t>
  </si>
  <si>
    <t>315973 / 317845</t>
  </si>
  <si>
    <t>Sales tax on Chris Robertson CC</t>
  </si>
  <si>
    <t>CC-05</t>
  </si>
  <si>
    <t>2007 KOBELCO CK2500II (402175) CC-05</t>
  </si>
  <si>
    <t>JD0402175</t>
  </si>
  <si>
    <t>QTR 3 2025</t>
  </si>
  <si>
    <t xml:space="preserve"> </t>
  </si>
  <si>
    <t>QTR 4 2025</t>
  </si>
  <si>
    <t>Disposal Date</t>
  </si>
  <si>
    <t>Price</t>
  </si>
  <si>
    <t>Purchaser</t>
  </si>
  <si>
    <t>Audit #</t>
  </si>
  <si>
    <t>Trade in (Asset #)</t>
  </si>
  <si>
    <t>Asset # Disposed</t>
  </si>
  <si>
    <t>EX-23</t>
  </si>
  <si>
    <t>PC88MR EXCAVATOR</t>
  </si>
  <si>
    <t>Whayne Supply Co</t>
  </si>
  <si>
    <t>EX-23*</t>
  </si>
  <si>
    <t>PC88MR EXCAVATOR REBUILD UINDERCARRIAGE</t>
  </si>
  <si>
    <t>PT-60</t>
  </si>
  <si>
    <t>2016 FORD F150</t>
  </si>
  <si>
    <t>Ruxer Ford</t>
  </si>
  <si>
    <t>PT-64</t>
  </si>
  <si>
    <t>PT-100</t>
  </si>
  <si>
    <t>2018 FORD F150</t>
  </si>
  <si>
    <t>PT-128</t>
  </si>
  <si>
    <t>2018 F250 SD SUPERCAB</t>
  </si>
  <si>
    <t>PT-40</t>
  </si>
  <si>
    <t>2014 FORD F250 A02604</t>
  </si>
  <si>
    <t>EX-20</t>
  </si>
  <si>
    <t>JOHN DEERE 350DLC EXCAVATOR</t>
  </si>
  <si>
    <t>Boyd CAT</t>
  </si>
  <si>
    <t>PT-175</t>
  </si>
  <si>
    <t>2020 F-250 C51962</t>
  </si>
  <si>
    <t>-</t>
  </si>
  <si>
    <t>EX-21</t>
  </si>
  <si>
    <t>2012 JD 250 GLC</t>
  </si>
  <si>
    <t>RITCHIE BROS</t>
  </si>
  <si>
    <t>EX-21'</t>
  </si>
  <si>
    <t>ENGINE FOR EX-34</t>
  </si>
  <si>
    <t>EX-21*</t>
  </si>
  <si>
    <t>EX-21''</t>
  </si>
  <si>
    <t>REPLACE ENGINE ON EX-21</t>
  </si>
  <si>
    <t>EX-21**</t>
  </si>
  <si>
    <t>SWT-01</t>
  </si>
  <si>
    <t>2022 F-250 STREET SWEEPER</t>
  </si>
  <si>
    <t>ALAMO GROUP</t>
  </si>
  <si>
    <t>Vendor</t>
  </si>
  <si>
    <t>Total</t>
  </si>
  <si>
    <t>12 month Expected Depre increase</t>
  </si>
  <si>
    <t>(Depreciation based of 15% salvage and 10 year life)</t>
  </si>
  <si>
    <t>Ragle Inc. Loans</t>
  </si>
  <si>
    <t>10,000 deposit on MT-13 in 2023</t>
  </si>
  <si>
    <t>Date</t>
  </si>
  <si>
    <t>E/T</t>
  </si>
  <si>
    <t>FNDN Trx No.</t>
  </si>
  <si>
    <t>Asset Description</t>
  </si>
  <si>
    <t>Equipment No.</t>
  </si>
  <si>
    <t>VIN OR SERIAL</t>
  </si>
  <si>
    <t>Purchase Amt</t>
  </si>
  <si>
    <t>Check No. / Bank Info</t>
  </si>
  <si>
    <t>Check Acct</t>
  </si>
  <si>
    <t>Cash or LOC</t>
  </si>
  <si>
    <t>Trade-In</t>
  </si>
  <si>
    <t>Trade-In Value</t>
  </si>
  <si>
    <t>Loan Vendor (Bank)</t>
  </si>
  <si>
    <t>Int. Rate</t>
  </si>
  <si>
    <t>Collateral</t>
  </si>
  <si>
    <t>ST GL</t>
  </si>
  <si>
    <t>LT GL</t>
  </si>
  <si>
    <t>DIV</t>
  </si>
  <si>
    <t>T</t>
  </si>
  <si>
    <t>BTEBOD</t>
  </si>
  <si>
    <t>24 Maintainer H7024ST-1-84</t>
  </si>
  <si>
    <t>MT-13</t>
  </si>
  <si>
    <t>CASH</t>
  </si>
  <si>
    <t>GAB</t>
  </si>
  <si>
    <t>E</t>
  </si>
  <si>
    <t xml:space="preserve">ZIMMERMAN  </t>
  </si>
  <si>
    <t>2025 Western Star Auto 47X</t>
  </si>
  <si>
    <t>CM-03</t>
  </si>
  <si>
    <t>5KKMBPFM4SLVM7450</t>
  </si>
  <si>
    <t>133477 (20% DOWN)</t>
  </si>
  <si>
    <t>ZM-910-SP Zim-Mixer</t>
  </si>
  <si>
    <t>IROPLA</t>
  </si>
  <si>
    <t>2016 JLP G5-18A TELEHANDLER</t>
  </si>
  <si>
    <t>TH-10</t>
  </si>
  <si>
    <t>MAINTAINER</t>
  </si>
  <si>
    <t>23 Ford F550 4x4 Auto</t>
  </si>
  <si>
    <t>1FDOX5HT3PED53090</t>
  </si>
  <si>
    <t>RUXFOR</t>
  </si>
  <si>
    <t xml:space="preserve">2023 F-250 </t>
  </si>
  <si>
    <t>PT-254</t>
  </si>
  <si>
    <t>D40182</t>
  </si>
  <si>
    <t>WARCAT</t>
  </si>
  <si>
    <t>2023 CAT PC310</t>
  </si>
  <si>
    <t>SSA-21</t>
  </si>
  <si>
    <t>GPW00776</t>
  </si>
  <si>
    <t>JFWEQU</t>
  </si>
  <si>
    <t>2018 Etnrye Centennial II Distributor</t>
  </si>
  <si>
    <t>DST-01</t>
  </si>
  <si>
    <t>1FVACXFE5JHJJ6213</t>
  </si>
  <si>
    <t>CLOSNER</t>
  </si>
  <si>
    <t>2022 Dynapac CC1400VI Tandem Asphalt Roller</t>
  </si>
  <si>
    <t>DD-03</t>
  </si>
  <si>
    <t>10000470ENA034101</t>
  </si>
  <si>
    <t>KENCO</t>
  </si>
  <si>
    <t>42" Slab Crab Bucket</t>
  </si>
  <si>
    <t>EXA-17</t>
  </si>
  <si>
    <t>Whasup</t>
  </si>
  <si>
    <t>P24 STONE9 EQ00211905</t>
  </si>
  <si>
    <t>QT Equipment</t>
  </si>
  <si>
    <t>2023 F-550 Lube Truck 42'</t>
  </si>
  <si>
    <t>MT-14</t>
  </si>
  <si>
    <t>1FDUF5HT9PED21569</t>
  </si>
  <si>
    <t xml:space="preserve">134645 / </t>
  </si>
  <si>
    <t>NORCENF</t>
  </si>
  <si>
    <t>2023 F-550 D21569</t>
  </si>
  <si>
    <t>PENTRU</t>
  </si>
  <si>
    <t>2019 INTER L592-806</t>
  </si>
  <si>
    <t>SFB-16</t>
  </si>
  <si>
    <t>3HAMMMML5KL592806</t>
  </si>
  <si>
    <t>PREPAID ACH</t>
  </si>
  <si>
    <t>2017 FREIGHT JH-9217</t>
  </si>
  <si>
    <t>SFB-15</t>
  </si>
  <si>
    <t>3ALACWDTXHDJH9217</t>
  </si>
  <si>
    <t>2018 INTER H736-688</t>
  </si>
  <si>
    <t>SFB-14</t>
  </si>
  <si>
    <t>1HTMMMML6JH736688</t>
  </si>
  <si>
    <t>RITCHIE</t>
  </si>
  <si>
    <t>2015 CAT 938K L-03900</t>
  </si>
  <si>
    <t>WL-10</t>
  </si>
  <si>
    <t>CAT0938KASWL03900</t>
  </si>
  <si>
    <t>2015 VOLVO SD45S229113</t>
  </si>
  <si>
    <t>R-32</t>
  </si>
  <si>
    <t>CVCE00S45V0S229113</t>
  </si>
  <si>
    <t>RITHCIE</t>
  </si>
  <si>
    <t>2017 WACKER 24381531</t>
  </si>
  <si>
    <t>R-33</t>
  </si>
  <si>
    <t>2018 CAT MINI Y-04609</t>
  </si>
  <si>
    <t>CAT3035ECJWY04609</t>
  </si>
  <si>
    <t>2014 FREIGHT CAB FZ3960</t>
  </si>
  <si>
    <t>SFB-17</t>
  </si>
  <si>
    <t>1FVACXDT1EGFZ3960</t>
  </si>
  <si>
    <t>2011 FREIGHT FLATBED BB6990</t>
  </si>
  <si>
    <t>SFB-18</t>
  </si>
  <si>
    <t>1FVACXDT6BDBB6990</t>
  </si>
  <si>
    <t>2015 GENIE S80X-1512798</t>
  </si>
  <si>
    <t>ML-05</t>
  </si>
  <si>
    <t>S80X1512798</t>
  </si>
  <si>
    <t>2023 F250 E16076</t>
  </si>
  <si>
    <t>PT-256</t>
  </si>
  <si>
    <t>1FTBF2AA8PEE16076</t>
  </si>
  <si>
    <t>2024 F250 D12146</t>
  </si>
  <si>
    <t>PT-255</t>
  </si>
  <si>
    <t>1FTBF2BA7RED12146</t>
  </si>
  <si>
    <t>2014 PETERBILT M219806</t>
  </si>
  <si>
    <t>DT-11</t>
  </si>
  <si>
    <t>2NP3LJ0X5EM219806</t>
  </si>
  <si>
    <t>HERREN</t>
  </si>
  <si>
    <t>2015 F750 V727489</t>
  </si>
  <si>
    <t>DT-15</t>
  </si>
  <si>
    <t>3FRXF7FA8FV727489</t>
  </si>
  <si>
    <t>2015 F750 V727506</t>
  </si>
  <si>
    <t>DT-14</t>
  </si>
  <si>
    <t>3FRXF7FA4FV727506</t>
  </si>
  <si>
    <t>RHIMAC</t>
  </si>
  <si>
    <t>2019 FREIGHTLINER M2-106 DUMP TRUCK</t>
  </si>
  <si>
    <t>DT-12</t>
  </si>
  <si>
    <t>1FVHCYFE9KHKE5850</t>
  </si>
  <si>
    <t>2018 FREIGHTLINER M2-106 DUMP TRUCK</t>
  </si>
  <si>
    <t>DT-13</t>
  </si>
  <si>
    <t>3ALHCYFC4JDJX8632</t>
  </si>
  <si>
    <t>2024 F250 D63738</t>
  </si>
  <si>
    <t>PT-257</t>
  </si>
  <si>
    <t>1FT7X2BA8RED63738</t>
  </si>
  <si>
    <t>BRAMAC</t>
  </si>
  <si>
    <t>2022 Komatsu PC138USLC-11</t>
  </si>
  <si>
    <t>EX-78</t>
  </si>
  <si>
    <t>DOZIER CRA</t>
  </si>
  <si>
    <t>2013 Kobelco GN403070</t>
  </si>
  <si>
    <t>CC-03</t>
  </si>
  <si>
    <t>GN0403070</t>
  </si>
  <si>
    <t>JJSCHCOR</t>
  </si>
  <si>
    <t xml:space="preserve">2018 WIRTGEN SOIL STAB </t>
  </si>
  <si>
    <t>T-04</t>
  </si>
  <si>
    <t>09WR.0128</t>
  </si>
  <si>
    <t>Gexesis GTT290 290172 EXA-19</t>
  </si>
  <si>
    <t>EXA-19</t>
  </si>
  <si>
    <t>2023 F250 D92867</t>
  </si>
  <si>
    <t>PT-259</t>
  </si>
  <si>
    <t>1FTBF2BA7PED92867</t>
  </si>
  <si>
    <t>2023 F250 D91858</t>
  </si>
  <si>
    <t>PT-258</t>
  </si>
  <si>
    <t>1FT7X2BA8PED91858</t>
  </si>
  <si>
    <t>SHATRA</t>
  </si>
  <si>
    <t>2024 CORNPRO UT-23 HT 7K</t>
  </si>
  <si>
    <t>UT-23</t>
  </si>
  <si>
    <t>4MJUB2328RE086399</t>
  </si>
  <si>
    <t>CARCAS</t>
  </si>
  <si>
    <t>2012 Kenworth M323504</t>
  </si>
  <si>
    <t>CM-04</t>
  </si>
  <si>
    <t>2NKBL50X8CM323504</t>
  </si>
  <si>
    <t>ANDINC</t>
  </si>
  <si>
    <t xml:space="preserve">2019 JD Dozer 650K F356615 </t>
  </si>
  <si>
    <t>D-23</t>
  </si>
  <si>
    <t>1T0650KKCKFS56615</t>
  </si>
  <si>
    <t>MCCONFOR</t>
  </si>
  <si>
    <t>2019 JD 350GLC F813682</t>
  </si>
  <si>
    <t>EX-79</t>
  </si>
  <si>
    <t>1FF350GXAKF813682</t>
  </si>
  <si>
    <t>WHASUP</t>
  </si>
  <si>
    <t>CAT BR120 EQ00215398</t>
  </si>
  <si>
    <t>SSA-22</t>
  </si>
  <si>
    <t>WM200293</t>
  </si>
  <si>
    <t>WOLEQU</t>
  </si>
  <si>
    <t>LOOP SAW W-60LS-STR</t>
  </si>
  <si>
    <t>LS-03</t>
  </si>
  <si>
    <t>W-60LS-STR</t>
  </si>
  <si>
    <t>DWR-04171729</t>
  </si>
  <si>
    <t>22 Cornpro UT-23HT7K E086623</t>
  </si>
  <si>
    <t>14T-41</t>
  </si>
  <si>
    <t>4MJUB2329RE086623</t>
  </si>
  <si>
    <t>24 Cornpro UT-23HT7K E086622</t>
  </si>
  <si>
    <t>14T-42</t>
  </si>
  <si>
    <t>4MJUB2327RE086622</t>
  </si>
  <si>
    <t>2016 GENIE S-45 4WD BOOM LIFT</t>
  </si>
  <si>
    <t>ML-06</t>
  </si>
  <si>
    <t>S4516H22865</t>
  </si>
  <si>
    <t>2024 F-250 E12583 PT-261</t>
  </si>
  <si>
    <t>PT-261</t>
  </si>
  <si>
    <t>1FTBF2BA3REE12583</t>
  </si>
  <si>
    <t>HAMSTE</t>
  </si>
  <si>
    <t>2013 GEODRILL 50 w/ 2020 Komatsu PC210LC-11</t>
  </si>
  <si>
    <t>EXD-01</t>
  </si>
  <si>
    <t>1005/KMTPC257PMWA13227</t>
  </si>
  <si>
    <t>GOMCOR</t>
  </si>
  <si>
    <t>FREIGHT</t>
  </si>
  <si>
    <t>N/A</t>
  </si>
  <si>
    <t>2024 F-250 E12581 PT-262</t>
  </si>
  <si>
    <t>PT-262</t>
  </si>
  <si>
    <t>1FTBF2BAXREE12581</t>
  </si>
  <si>
    <t>2024 F-250 E14598 PT-263</t>
  </si>
  <si>
    <t>PT-263</t>
  </si>
  <si>
    <t>1FTBF2BA4REE14598</t>
  </si>
  <si>
    <t>MUSCAT</t>
  </si>
  <si>
    <t>308-07 NEXT GEN 308 W/RUBBER</t>
  </si>
  <si>
    <t>EX-77</t>
  </si>
  <si>
    <t>GG809219</t>
  </si>
  <si>
    <t>2024 F-150 E13966 PT-264</t>
  </si>
  <si>
    <t>PT-264</t>
  </si>
  <si>
    <t>1FTEX1LP1RKE13966</t>
  </si>
  <si>
    <t>STERNFOR</t>
  </si>
  <si>
    <t>2024 F-250 D59973 PT-265</t>
  </si>
  <si>
    <t>PT-265</t>
  </si>
  <si>
    <t>1FT7X2BA9RED59973</t>
  </si>
  <si>
    <t>2024 F-150 D06478 PT-266</t>
  </si>
  <si>
    <t>PT-266</t>
  </si>
  <si>
    <t>1FTFX1L58RKD06478</t>
  </si>
  <si>
    <t>2024 F-150 A47508 PT-267</t>
  </si>
  <si>
    <t>PT-267</t>
  </si>
  <si>
    <t>1FTFW3L50RFA47508</t>
  </si>
  <si>
    <t>2020 International MV607</t>
  </si>
  <si>
    <t>SFB-20</t>
  </si>
  <si>
    <t>3HAEUMML0LL425601</t>
  </si>
  <si>
    <t>SFB-21</t>
  </si>
  <si>
    <t>3HAEUMML8LL443408</t>
  </si>
  <si>
    <t>ADD ON 938-BT BUCKET</t>
  </si>
  <si>
    <t>WL-01*</t>
  </si>
  <si>
    <t>AKR76612</t>
  </si>
  <si>
    <t>D-14 GPS</t>
  </si>
  <si>
    <t>D-14*</t>
  </si>
  <si>
    <t>1T0750KXTHF316979</t>
  </si>
  <si>
    <t>2024 VM LP873SDT HYDRAULIC JACK</t>
  </si>
  <si>
    <t>VE-05</t>
  </si>
  <si>
    <t>7NWH19A61RK050599</t>
  </si>
  <si>
    <t>2024 F-150 B22723 PT-269</t>
  </si>
  <si>
    <t>PT-271</t>
  </si>
  <si>
    <t>1FTFW3L57RFB22723</t>
  </si>
  <si>
    <t>2024 CornPro UT-23HT E086665</t>
  </si>
  <si>
    <t>14T-43</t>
  </si>
  <si>
    <t>4MJUB2323RE086665</t>
  </si>
  <si>
    <t>2019 FREIGHTLINER M2</t>
  </si>
  <si>
    <t>SFB-23</t>
  </si>
  <si>
    <t>3ALACWFC8KDKB9153</t>
  </si>
  <si>
    <t>2016 FREIGHTLINER M2</t>
  </si>
  <si>
    <t>SFB-22</t>
  </si>
  <si>
    <t>3ALACWDTXGDGV9036</t>
  </si>
  <si>
    <t>2024 F-150 E28395 PT-272</t>
  </si>
  <si>
    <t>PT-272</t>
  </si>
  <si>
    <t>1FTFX1L50RKE28395</t>
  </si>
  <si>
    <t>2024 F-250 E14013 PT-273</t>
  </si>
  <si>
    <t>PT-273</t>
  </si>
  <si>
    <t>1FT7X2BA1REE14013</t>
  </si>
  <si>
    <t>ML-07</t>
  </si>
  <si>
    <t>S4516H22776</t>
  </si>
  <si>
    <t>HONDA GX690 PRESSURE WASHER</t>
  </si>
  <si>
    <t>PW-01</t>
  </si>
  <si>
    <t>CCARD</t>
  </si>
  <si>
    <t>CREDIT CARD</t>
  </si>
  <si>
    <t>PW-02</t>
  </si>
  <si>
    <t>SCREE TRUSS</t>
  </si>
  <si>
    <t>CFM-18</t>
  </si>
  <si>
    <t>JGL 400 TELESCOPING BOOM LIFT DSL</t>
  </si>
  <si>
    <t>ML-08</t>
  </si>
  <si>
    <t>ML-09</t>
  </si>
  <si>
    <t>2025 KENWORTH T88 TRUCK</t>
  </si>
  <si>
    <t>S-10</t>
  </si>
  <si>
    <t>1XKZP4TX7SJ180212</t>
  </si>
  <si>
    <t>2017 GENIE GTH-5519 TELEHANDELER</t>
  </si>
  <si>
    <t>TH-11</t>
  </si>
  <si>
    <t>GTH55M-7074</t>
  </si>
  <si>
    <t>2020 NORTH AMERICAN PTL SOLAR MESSAGE BOARD</t>
  </si>
  <si>
    <t>ME-52</t>
  </si>
  <si>
    <t>SF9TSA1C5LP084945</t>
  </si>
  <si>
    <t>20' STD ONE TRIP CONTAINER</t>
  </si>
  <si>
    <t>CO-18</t>
  </si>
  <si>
    <t>TGSU2297780</t>
  </si>
  <si>
    <t>2022 JOHN DEERE 300G LC EXCAVATOR</t>
  </si>
  <si>
    <t>EX-80</t>
  </si>
  <si>
    <t>1FF300GXLNF731956</t>
  </si>
  <si>
    <t>2021 CAT D-1</t>
  </si>
  <si>
    <t>D-24</t>
  </si>
  <si>
    <t>XKL00178</t>
  </si>
  <si>
    <t>25' LOADING RAMP</t>
  </si>
  <si>
    <t>LR-01</t>
  </si>
  <si>
    <t>EAR99</t>
  </si>
  <si>
    <t>STAB CAT THREADER &amp; SPREADER BAR DRESSED</t>
  </si>
  <si>
    <t>ME-62</t>
  </si>
  <si>
    <t>2018 MANITOWOC 11000-1</t>
  </si>
  <si>
    <t>CC-04</t>
  </si>
  <si>
    <t>FT-09 TRANSMISSION REPLACEMENT</t>
  </si>
  <si>
    <t>FT-09'''</t>
  </si>
  <si>
    <t>2017 BROCE 350 BRC</t>
  </si>
  <si>
    <t>BRO-13</t>
  </si>
  <si>
    <t>2015 CAT 279D XPS GLT01897</t>
  </si>
  <si>
    <t>SS-43</t>
  </si>
  <si>
    <t>GTL01897</t>
  </si>
  <si>
    <t>2018 HAMM H12i DRUM ROLLER H2350502</t>
  </si>
  <si>
    <t>R-34</t>
  </si>
  <si>
    <t>H2350502</t>
  </si>
  <si>
    <t>DT-02 TRANSMISSION REPLACEMENT</t>
  </si>
  <si>
    <t>DT-02'</t>
  </si>
  <si>
    <t>WANCO ARROW BOARDS</t>
  </si>
  <si>
    <t>ME-53 / ME-59</t>
  </si>
  <si>
    <t>5F11S1014R1007052</t>
  </si>
  <si>
    <t>2023 JD 750L PF448453</t>
  </si>
  <si>
    <t>D-25</t>
  </si>
  <si>
    <t>1T0750LXAPF448453</t>
  </si>
  <si>
    <t>2024 F-250 XL E94240 PT-279</t>
  </si>
  <si>
    <t>PT-279</t>
  </si>
  <si>
    <t>1FT7W2AAXREE94240</t>
  </si>
  <si>
    <t>2024 F-250 XL E93968 PT-280</t>
  </si>
  <si>
    <t>PT-280</t>
  </si>
  <si>
    <t>1FT7W2AA0REE93968</t>
  </si>
  <si>
    <t>2024 F-250 XL E94010 PT-281</t>
  </si>
  <si>
    <t>PT-281</t>
  </si>
  <si>
    <t>1FT7W2AA4REE94010</t>
  </si>
  <si>
    <t>2024 F-250 XL F26875 PT-282</t>
  </si>
  <si>
    <t>PT-282</t>
  </si>
  <si>
    <t>1FT7W2AA6REF26875</t>
  </si>
  <si>
    <t>2024 F-MAVERICK B41786 PT-274</t>
  </si>
  <si>
    <t>PT-274</t>
  </si>
  <si>
    <t>3FTTW8A3XRRB41786</t>
  </si>
  <si>
    <t>2024 F-MAVERICK B40920 PT-275</t>
  </si>
  <si>
    <t>PT-275</t>
  </si>
  <si>
    <t>3FTTW8A35RRB40920</t>
  </si>
  <si>
    <t>2024 F-MAVERICK B41388 PT-276</t>
  </si>
  <si>
    <t>PT-276</t>
  </si>
  <si>
    <t>3FTTW8A39RRB41388</t>
  </si>
  <si>
    <t>2024 F-MAVERICK B40474 PT-277</t>
  </si>
  <si>
    <t>PT-277</t>
  </si>
  <si>
    <t>3FTTW8A38RRB40474</t>
  </si>
  <si>
    <t>2024 F-MAVERICK B41295 PT-278</t>
  </si>
  <si>
    <t>PT-278</t>
  </si>
  <si>
    <t>3FTTW8A32RRB41295</t>
  </si>
  <si>
    <t>QUINCY QR 350LL COMPRESSOR</t>
  </si>
  <si>
    <t>SAC-01</t>
  </si>
  <si>
    <t>2023 CAT MINI EXCAVATOR</t>
  </si>
  <si>
    <t>EX-81</t>
  </si>
  <si>
    <t>CAT00304CAN401570</t>
  </si>
  <si>
    <t>COLUMN FORMS</t>
  </si>
  <si>
    <t>DFC-01</t>
  </si>
  <si>
    <t>2025 FLATBED BUMPER PULL TRAILER</t>
  </si>
  <si>
    <t>14T-44</t>
  </si>
  <si>
    <t>16V1W2425S2373167</t>
  </si>
  <si>
    <t>2025 DUMP TRAILER</t>
  </si>
  <si>
    <t>14T-45</t>
  </si>
  <si>
    <t>16V1D2121S5389889</t>
  </si>
  <si>
    <t>2023 CAT 323 Z30150 EX-82</t>
  </si>
  <si>
    <t>EX-82</t>
  </si>
  <si>
    <t>RAZ30150</t>
  </si>
  <si>
    <t>2017 MEC 6092RT SCISSOR LIFT</t>
  </si>
  <si>
    <t>SFB-23'</t>
  </si>
  <si>
    <t>2016 JLG TELEHANDLER</t>
  </si>
  <si>
    <t>TH-12</t>
  </si>
  <si>
    <t>2021 UTILITY TRAILER</t>
  </si>
  <si>
    <t>SDT-01</t>
  </si>
  <si>
    <t>1UYFS2532M5285605</t>
  </si>
  <si>
    <t>CAT-HM215</t>
  </si>
  <si>
    <t>SSA-25</t>
  </si>
  <si>
    <t>HM500264</t>
  </si>
  <si>
    <t>2018 FREIGHTLINER M2</t>
  </si>
  <si>
    <t>STK-01</t>
  </si>
  <si>
    <t>3ALHCYFE0JDJW5278</t>
  </si>
  <si>
    <t>1754 / 1756</t>
  </si>
  <si>
    <t>30' FLEX CONTAINER</t>
  </si>
  <si>
    <t>FENCE PANELS</t>
  </si>
  <si>
    <t>1FT7W2AAXREF26630</t>
  </si>
  <si>
    <t>4C9PT6022SG229941_x000D_</t>
  </si>
  <si>
    <t>CAT FINANCED</t>
  </si>
  <si>
    <t>RDL-30098</t>
  </si>
  <si>
    <t>2019 D5K2 LGP (207436) D-27</t>
  </si>
  <si>
    <t>2007 KOBELCO CK-2500II CC-05</t>
  </si>
  <si>
    <t>2005 ETNYRE K CHIP SPREADER (K6068)</t>
  </si>
  <si>
    <t>CAT-CV119 01035 (SSA-26)</t>
  </si>
  <si>
    <t>Charged to Job / Shop</t>
  </si>
  <si>
    <t>Ragle Foundation</t>
  </si>
  <si>
    <t>Pete</t>
  </si>
  <si>
    <t>Ragle Asset List</t>
  </si>
  <si>
    <t>Audit Number</t>
  </si>
  <si>
    <t>Asset Number</t>
  </si>
  <si>
    <t>Asset Purchase List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</si>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</sst>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2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6"/>
      <name val="Calibri"/>
      <family val="2"/>
      <scheme val="minor"/>
    </font>
    <font>
      <i/>
      <sz val="16"/>
      <name val="Calibri"/>
      <family val="2"/>
      <scheme val="minor"/>
    </font>
    <font>
      <sz val="10"/>
      <name val="Arial"/>
      <family val="2"/>
    </font>
    <font>
      <sz val="11"/>
      <color rgb="FF242424"/>
      <name val="Calibri"/>
      <family val="2"/>
      <scheme val="minor"/>
    </font>
    <font>
      <sz val="16"/>
      <color rgb="FFD2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trike/>
      <sz val="14"/>
      <name val="Calibri"/>
      <family val="2"/>
      <scheme val="minor"/>
    </font>
    <font>
      <strike/>
      <sz val="14"/>
      <name val="Calibri"/>
      <family val="2"/>
      <scheme val="minor"/>
    </font>
    <font>
      <strike/>
      <sz val="14"/>
      <color theme="1"/>
      <name val="Calibri"/>
      <family val="2"/>
      <scheme val="minor"/>
    </font>
    <font>
      <strike/>
      <sz val="14"/>
      <name val="Calibri"/>
      <family val="2"/>
    </font>
    <font>
      <strike/>
      <sz val="14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BCB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7030A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dashDotDot">
        <color auto="1"/>
      </left>
      <right/>
      <top style="dashDotDot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slantDashDot">
        <color auto="1"/>
      </left>
      <right/>
      <top style="slantDashDot">
        <color auto="1"/>
      </top>
      <bottom/>
      <diagonal/>
    </border>
    <border>
      <left/>
      <right/>
      <top style="slantDashDot">
        <color auto="1"/>
      </top>
      <bottom/>
      <diagonal/>
    </border>
    <border>
      <left/>
      <right style="slantDashDot">
        <color auto="1"/>
      </right>
      <top style="slantDashDot">
        <color auto="1"/>
      </top>
      <bottom/>
      <diagonal/>
    </border>
    <border>
      <left style="slantDashDot">
        <color auto="1"/>
      </left>
      <right/>
      <top style="medium">
        <color indexed="64"/>
      </top>
      <bottom/>
      <diagonal/>
    </border>
    <border>
      <left/>
      <right style="slantDashDot">
        <color auto="1"/>
      </right>
      <top/>
      <bottom/>
      <diagonal/>
    </border>
    <border>
      <left style="slantDashDot">
        <color auto="1"/>
      </left>
      <right/>
      <top/>
      <bottom/>
      <diagonal/>
    </border>
    <border>
      <left style="slantDashDot">
        <color auto="1"/>
      </left>
      <right/>
      <top/>
      <bottom style="medium">
        <color indexed="64"/>
      </bottom>
      <diagonal/>
    </border>
    <border>
      <left style="slantDashDot">
        <color auto="1"/>
      </left>
      <right/>
      <top/>
      <bottom style="slantDashDot">
        <color auto="1"/>
      </bottom>
      <diagonal/>
    </border>
    <border>
      <left/>
      <right/>
      <top/>
      <bottom style="slantDashDot">
        <color auto="1"/>
      </bottom>
      <diagonal/>
    </border>
    <border>
      <left/>
      <right style="slantDashDot">
        <color auto="1"/>
      </right>
      <top/>
      <bottom style="slantDashDot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5">
    <xf numFmtId="0" fontId="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8" fillId="0" borderId="0"/>
  </cellStyleXfs>
  <cellXfs count="334">
    <xf numFmtId="0" fontId="0" fillId="0" borderId="0" xfId="0"/>
    <xf numFmtId="14" fontId="0" fillId="0" borderId="0" xfId="0" applyNumberFormat="1"/>
    <xf numFmtId="44" fontId="0" fillId="0" borderId="0" xfId="0" applyNumberFormat="1"/>
    <xf numFmtId="0" fontId="0" fillId="0" borderId="1" xfId="0" applyBorder="1" applyAlignment="1">
      <alignment horizontal="center"/>
    </xf>
    <xf numFmtId="44" fontId="0" fillId="0" borderId="1" xfId="0" applyNumberFormat="1" applyBorder="1" applyAlignment="1">
      <alignment horizontal="center"/>
    </xf>
    <xf numFmtId="44" fontId="0" fillId="0" borderId="2" xfId="0" applyNumberFormat="1" applyBorder="1"/>
    <xf numFmtId="0" fontId="0" fillId="0" borderId="0" xfId="0" applyAlignment="1">
      <alignment horizontal="center"/>
    </xf>
    <xf numFmtId="44" fontId="0" fillId="0" borderId="3" xfId="0" applyNumberFormat="1" applyBorder="1"/>
    <xf numFmtId="0" fontId="1" fillId="0" borderId="0" xfId="0" applyFont="1"/>
    <xf numFmtId="44" fontId="4" fillId="0" borderId="2" xfId="0" applyNumberFormat="1" applyFont="1" applyBorder="1"/>
    <xf numFmtId="0" fontId="5" fillId="0" borderId="0" xfId="0" applyFont="1"/>
    <xf numFmtId="44" fontId="5" fillId="0" borderId="0" xfId="0" applyNumberFormat="1" applyFont="1"/>
    <xf numFmtId="14" fontId="5" fillId="0" borderId="0" xfId="0" applyNumberFormat="1" applyFont="1"/>
    <xf numFmtId="0" fontId="6" fillId="0" borderId="0" xfId="0" applyFont="1"/>
    <xf numFmtId="14" fontId="6" fillId="0" borderId="0" xfId="0" applyNumberFormat="1" applyFont="1"/>
    <xf numFmtId="44" fontId="6" fillId="0" borderId="0" xfId="0" applyNumberFormat="1" applyFont="1"/>
    <xf numFmtId="0" fontId="3" fillId="0" borderId="0" xfId="0" applyFont="1"/>
    <xf numFmtId="0" fontId="8" fillId="0" borderId="0" xfId="0" applyFont="1"/>
    <xf numFmtId="8" fontId="0" fillId="0" borderId="0" xfId="0" applyNumberFormat="1"/>
    <xf numFmtId="44" fontId="0" fillId="0" borderId="0" xfId="1" applyFont="1" applyFill="1"/>
    <xf numFmtId="14" fontId="0" fillId="0" borderId="0" xfId="0" applyNumberFormat="1" applyAlignment="1">
      <alignment horizontal="right"/>
    </xf>
    <xf numFmtId="44" fontId="0" fillId="0" borderId="0" xfId="0" applyNumberFormat="1" applyAlignment="1">
      <alignment horizontal="center"/>
    </xf>
    <xf numFmtId="44" fontId="0" fillId="0" borderId="4" xfId="0" applyNumberFormat="1" applyBorder="1"/>
    <xf numFmtId="44" fontId="0" fillId="0" borderId="5" xfId="0" applyNumberFormat="1" applyBorder="1"/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quotePrefix="1"/>
    <xf numFmtId="0" fontId="6" fillId="0" borderId="0" xfId="0" applyFont="1" applyAlignment="1">
      <alignment horizontal="center"/>
    </xf>
    <xf numFmtId="0" fontId="11" fillId="0" borderId="0" xfId="0" applyFont="1" applyAlignment="1">
      <alignment vertical="center"/>
    </xf>
    <xf numFmtId="0" fontId="11" fillId="0" borderId="0" xfId="0" applyFont="1"/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44" fontId="0" fillId="0" borderId="0" xfId="1" applyFont="1"/>
    <xf numFmtId="14" fontId="12" fillId="0" borderId="0" xfId="0" applyNumberFormat="1" applyFont="1" applyAlignment="1">
      <alignment horizontal="center"/>
    </xf>
    <xf numFmtId="44" fontId="12" fillId="0" borderId="0" xfId="0" applyNumberFormat="1" applyFont="1"/>
    <xf numFmtId="0" fontId="12" fillId="0" borderId="0" xfId="0" applyFont="1" applyAlignment="1">
      <alignment horizontal="left"/>
    </xf>
    <xf numFmtId="44" fontId="12" fillId="0" borderId="0" xfId="0" applyNumberFormat="1" applyFont="1" applyAlignment="1">
      <alignment horizontal="left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43" fontId="13" fillId="0" borderId="0" xfId="2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/>
    <xf numFmtId="0" fontId="0" fillId="0" borderId="7" xfId="0" applyBorder="1" applyAlignment="1">
      <alignment horizontal="center"/>
    </xf>
    <xf numFmtId="43" fontId="0" fillId="0" borderId="7" xfId="2" applyFont="1" applyBorder="1" applyAlignment="1">
      <alignment horizontal="center"/>
    </xf>
    <xf numFmtId="9" fontId="0" fillId="0" borderId="7" xfId="3" applyFont="1" applyBorder="1" applyAlignment="1">
      <alignment horizontal="center"/>
    </xf>
    <xf numFmtId="14" fontId="0" fillId="0" borderId="6" xfId="0" applyNumberFormat="1" applyBorder="1"/>
    <xf numFmtId="14" fontId="0" fillId="0" borderId="6" xfId="0" applyNumberFormat="1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43" fontId="0" fillId="0" borderId="6" xfId="2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0" fontId="0" fillId="0" borderId="8" xfId="0" applyBorder="1"/>
    <xf numFmtId="43" fontId="0" fillId="0" borderId="0" xfId="2" applyFont="1" applyAlignment="1">
      <alignment horizontal="center"/>
    </xf>
    <xf numFmtId="9" fontId="0" fillId="0" borderId="0" xfId="3" applyFont="1" applyAlignment="1">
      <alignment horizontal="center"/>
    </xf>
    <xf numFmtId="10" fontId="0" fillId="0" borderId="6" xfId="3" applyNumberFormat="1" applyFont="1" applyBorder="1" applyAlignment="1">
      <alignment horizontal="center"/>
    </xf>
    <xf numFmtId="0" fontId="1" fillId="0" borderId="0" xfId="0" applyFont="1" applyAlignment="1">
      <alignment wrapText="1"/>
    </xf>
    <xf numFmtId="0" fontId="0" fillId="6" borderId="0" xfId="0" applyFill="1"/>
    <xf numFmtId="0" fontId="0" fillId="7" borderId="0" xfId="0" applyFill="1"/>
    <xf numFmtId="0" fontId="0" fillId="7" borderId="9" xfId="0" applyFill="1" applyBorder="1"/>
    <xf numFmtId="0" fontId="0" fillId="7" borderId="10" xfId="0" applyFill="1" applyBorder="1" applyAlignment="1">
      <alignment horizontal="center"/>
    </xf>
    <xf numFmtId="44" fontId="0" fillId="7" borderId="11" xfId="0" applyNumberFormat="1" applyFill="1" applyBorder="1"/>
    <xf numFmtId="0" fontId="0" fillId="7" borderId="12" xfId="0" applyFill="1" applyBorder="1"/>
    <xf numFmtId="44" fontId="0" fillId="7" borderId="13" xfId="0" applyNumberFormat="1" applyFill="1" applyBorder="1"/>
    <xf numFmtId="0" fontId="1" fillId="8" borderId="3" xfId="0" applyFont="1" applyFill="1" applyBorder="1"/>
    <xf numFmtId="44" fontId="1" fillId="8" borderId="3" xfId="0" applyNumberFormat="1" applyFont="1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6" xfId="0" applyFill="1" applyBorder="1"/>
    <xf numFmtId="0" fontId="0" fillId="7" borderId="17" xfId="0" applyFill="1" applyBorder="1"/>
    <xf numFmtId="0" fontId="0" fillId="7" borderId="18" xfId="0" applyFill="1" applyBorder="1" applyAlignment="1">
      <alignment horizontal="center"/>
    </xf>
    <xf numFmtId="0" fontId="0" fillId="7" borderId="19" xfId="0" applyFill="1" applyBorder="1"/>
    <xf numFmtId="9" fontId="0" fillId="7" borderId="18" xfId="3" applyFont="1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21" xfId="0" applyFill="1" applyBorder="1"/>
    <xf numFmtId="0" fontId="0" fillId="7" borderId="22" xfId="0" applyFill="1" applyBorder="1"/>
    <xf numFmtId="44" fontId="0" fillId="7" borderId="22" xfId="0" applyNumberFormat="1" applyFill="1" applyBorder="1"/>
    <xf numFmtId="9" fontId="0" fillId="7" borderId="23" xfId="0" applyNumberFormat="1" applyFill="1" applyBorder="1"/>
    <xf numFmtId="0" fontId="14" fillId="0" borderId="0" xfId="0" applyFont="1"/>
    <xf numFmtId="44" fontId="14" fillId="0" borderId="0" xfId="0" applyNumberFormat="1" applyFont="1"/>
    <xf numFmtId="0" fontId="14" fillId="0" borderId="0" xfId="0" applyFont="1" applyAlignment="1">
      <alignment horizontal="center"/>
    </xf>
    <xf numFmtId="0" fontId="14" fillId="7" borderId="0" xfId="0" applyFont="1" applyFill="1"/>
    <xf numFmtId="0" fontId="14" fillId="0" borderId="1" xfId="0" applyFont="1" applyBorder="1" applyAlignment="1">
      <alignment horizontal="center"/>
    </xf>
    <xf numFmtId="44" fontId="14" fillId="0" borderId="1" xfId="0" applyNumberFormat="1" applyFont="1" applyBorder="1" applyAlignment="1">
      <alignment horizontal="center"/>
    </xf>
    <xf numFmtId="0" fontId="14" fillId="7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44" fontId="15" fillId="0" borderId="0" xfId="0" applyNumberFormat="1" applyFont="1"/>
    <xf numFmtId="0" fontId="15" fillId="0" borderId="0" xfId="0" applyFont="1"/>
    <xf numFmtId="0" fontId="14" fillId="4" borderId="0" xfId="0" applyFont="1" applyFill="1"/>
    <xf numFmtId="44" fontId="14" fillId="7" borderId="0" xfId="0" applyNumberFormat="1" applyFont="1" applyFill="1"/>
    <xf numFmtId="9" fontId="14" fillId="7" borderId="0" xfId="3" applyFont="1" applyFill="1"/>
    <xf numFmtId="14" fontId="15" fillId="0" borderId="0" xfId="0" applyNumberFormat="1" applyFont="1"/>
    <xf numFmtId="44" fontId="16" fillId="0" borderId="0" xfId="0" applyNumberFormat="1" applyFont="1"/>
    <xf numFmtId="44" fontId="14" fillId="7" borderId="2" xfId="0" applyNumberFormat="1" applyFont="1" applyFill="1" applyBorder="1"/>
    <xf numFmtId="44" fontId="14" fillId="0" borderId="2" xfId="0" applyNumberFormat="1" applyFont="1" applyBorder="1"/>
    <xf numFmtId="44" fontId="14" fillId="0" borderId="0" xfId="1" applyFont="1" applyFill="1"/>
    <xf numFmtId="44" fontId="14" fillId="0" borderId="3" xfId="0" applyNumberFormat="1" applyFont="1" applyBorder="1"/>
    <xf numFmtId="0" fontId="16" fillId="0" borderId="0" xfId="0" applyFont="1"/>
    <xf numFmtId="0" fontId="16" fillId="0" borderId="0" xfId="0" quotePrefix="1" applyFont="1"/>
    <xf numFmtId="14" fontId="16" fillId="0" borderId="0" xfId="0" applyNumberFormat="1" applyFont="1"/>
    <xf numFmtId="0" fontId="16" fillId="0" borderId="0" xfId="0" applyFont="1" applyAlignment="1">
      <alignment horizontal="center"/>
    </xf>
    <xf numFmtId="44" fontId="15" fillId="0" borderId="1" xfId="0" applyNumberFormat="1" applyFont="1" applyBorder="1"/>
    <xf numFmtId="0" fontId="14" fillId="0" borderId="0" xfId="0" applyFont="1" applyAlignment="1">
      <alignment horizontal="center" wrapText="1"/>
    </xf>
    <xf numFmtId="44" fontId="14" fillId="7" borderId="3" xfId="0" applyNumberFormat="1" applyFont="1" applyFill="1" applyBorder="1"/>
    <xf numFmtId="14" fontId="14" fillId="0" borderId="0" xfId="0" applyNumberFormat="1" applyFont="1"/>
    <xf numFmtId="0" fontId="14" fillId="0" borderId="2" xfId="0" applyFont="1" applyBorder="1" applyAlignment="1">
      <alignment horizontal="center"/>
    </xf>
    <xf numFmtId="0" fontId="14" fillId="0" borderId="0" xfId="0" quotePrefix="1" applyFont="1"/>
    <xf numFmtId="0" fontId="15" fillId="7" borderId="0" xfId="0" applyFont="1" applyFill="1"/>
    <xf numFmtId="0" fontId="17" fillId="0" borderId="0" xfId="0" applyFont="1"/>
    <xf numFmtId="14" fontId="17" fillId="0" borderId="0" xfId="0" applyNumberFormat="1" applyFont="1"/>
    <xf numFmtId="44" fontId="17" fillId="0" borderId="0" xfId="0" applyNumberFormat="1" applyFont="1"/>
    <xf numFmtId="0" fontId="17" fillId="0" borderId="0" xfId="0" applyFont="1" applyAlignment="1">
      <alignment horizontal="center"/>
    </xf>
    <xf numFmtId="44" fontId="17" fillId="0" borderId="0" xfId="1" applyFont="1" applyFill="1" applyAlignment="1">
      <alignment horizontal="center"/>
    </xf>
    <xf numFmtId="14" fontId="1" fillId="4" borderId="6" xfId="0" applyNumberFormat="1" applyFont="1" applyFill="1" applyBorder="1" applyAlignment="1" applyProtection="1">
      <alignment horizontal="center"/>
      <protection locked="0"/>
    </xf>
    <xf numFmtId="0" fontId="1" fillId="4" borderId="6" xfId="0" applyFont="1" applyFill="1" applyBorder="1" applyAlignment="1" applyProtection="1">
      <alignment horizontal="center"/>
      <protection locked="0"/>
    </xf>
    <xf numFmtId="43" fontId="1" fillId="4" borderId="6" xfId="2" applyFont="1" applyFill="1" applyBorder="1" applyAlignment="1" applyProtection="1">
      <alignment horizontal="center"/>
      <protection locked="0"/>
    </xf>
    <xf numFmtId="43" fontId="1" fillId="3" borderId="6" xfId="2" applyFont="1" applyFill="1" applyBorder="1" applyAlignment="1" applyProtection="1">
      <alignment horizontal="center"/>
      <protection locked="0"/>
    </xf>
    <xf numFmtId="0" fontId="1" fillId="5" borderId="6" xfId="0" applyFont="1" applyFill="1" applyBorder="1" applyAlignment="1" applyProtection="1">
      <alignment horizontal="center"/>
      <protection locked="0"/>
    </xf>
    <xf numFmtId="9" fontId="1" fillId="5" borderId="6" xfId="3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44" fontId="15" fillId="7" borderId="2" xfId="0" applyNumberFormat="1" applyFont="1" applyFill="1" applyBorder="1"/>
    <xf numFmtId="9" fontId="15" fillId="7" borderId="0" xfId="3" applyFont="1" applyFill="1"/>
    <xf numFmtId="14" fontId="0" fillId="0" borderId="7" xfId="0" applyNumberFormat="1" applyBorder="1"/>
    <xf numFmtId="14" fontId="0" fillId="0" borderId="7" xfId="0" applyNumberFormat="1" applyBorder="1" applyAlignment="1">
      <alignment horizontal="center"/>
    </xf>
    <xf numFmtId="43" fontId="0" fillId="0" borderId="6" xfId="2" applyFont="1" applyFill="1" applyBorder="1" applyAlignment="1">
      <alignment horizontal="center"/>
    </xf>
    <xf numFmtId="43" fontId="0" fillId="0" borderId="6" xfId="2" applyFont="1" applyFill="1" applyBorder="1"/>
    <xf numFmtId="43" fontId="0" fillId="5" borderId="6" xfId="2" applyFont="1" applyFill="1" applyBorder="1" applyAlignment="1">
      <alignment horizontal="center"/>
    </xf>
    <xf numFmtId="43" fontId="0" fillId="0" borderId="0" xfId="0" applyNumberFormat="1" applyAlignment="1">
      <alignment vertical="center"/>
    </xf>
    <xf numFmtId="43" fontId="0" fillId="9" borderId="6" xfId="2" applyFont="1" applyFill="1" applyBorder="1" applyAlignment="1">
      <alignment horizontal="center"/>
    </xf>
    <xf numFmtId="0" fontId="0" fillId="0" borderId="7" xfId="0" applyBorder="1" applyAlignment="1">
      <alignment horizontal="right"/>
    </xf>
    <xf numFmtId="0" fontId="0" fillId="0" borderId="6" xfId="0" applyBorder="1" applyAlignment="1">
      <alignment horizontal="right"/>
    </xf>
    <xf numFmtId="0" fontId="15" fillId="3" borderId="0" xfId="0" applyFont="1" applyFill="1"/>
    <xf numFmtId="0" fontId="14" fillId="3" borderId="0" xfId="0" applyFont="1" applyFill="1"/>
    <xf numFmtId="14" fontId="14" fillId="3" borderId="0" xfId="0" applyNumberFormat="1" applyFont="1" applyFill="1"/>
    <xf numFmtId="44" fontId="14" fillId="3" borderId="0" xfId="0" applyNumberFormat="1" applyFont="1" applyFill="1"/>
    <xf numFmtId="0" fontId="14" fillId="3" borderId="0" xfId="0" applyFont="1" applyFill="1" applyAlignment="1">
      <alignment horizontal="center"/>
    </xf>
    <xf numFmtId="0" fontId="14" fillId="3" borderId="0" xfId="0" applyFont="1" applyFill="1" applyAlignment="1">
      <alignment horizontal="left"/>
    </xf>
    <xf numFmtId="0" fontId="15" fillId="10" borderId="0" xfId="0" applyFont="1" applyFill="1"/>
    <xf numFmtId="14" fontId="15" fillId="3" borderId="0" xfId="0" applyNumberFormat="1" applyFont="1" applyFill="1"/>
    <xf numFmtId="44" fontId="15" fillId="3" borderId="0" xfId="0" applyNumberFormat="1" applyFont="1" applyFill="1"/>
    <xf numFmtId="0" fontId="15" fillId="3" borderId="0" xfId="0" applyFont="1" applyFill="1" applyAlignment="1">
      <alignment horizontal="center"/>
    </xf>
    <xf numFmtId="14" fontId="15" fillId="10" borderId="0" xfId="0" applyNumberFormat="1" applyFont="1" applyFill="1"/>
    <xf numFmtId="44" fontId="15" fillId="10" borderId="0" xfId="0" applyNumberFormat="1" applyFont="1" applyFill="1"/>
    <xf numFmtId="0" fontId="15" fillId="10" borderId="0" xfId="0" applyFont="1" applyFill="1" applyAlignment="1">
      <alignment horizontal="center"/>
    </xf>
    <xf numFmtId="0" fontId="9" fillId="3" borderId="0" xfId="0" applyFont="1" applyFill="1"/>
    <xf numFmtId="44" fontId="9" fillId="3" borderId="3" xfId="0" applyNumberFormat="1" applyFont="1" applyFill="1" applyBorder="1"/>
    <xf numFmtId="0" fontId="2" fillId="10" borderId="0" xfId="0" applyFont="1" applyFill="1" applyAlignment="1">
      <alignment wrapText="1"/>
    </xf>
    <xf numFmtId="44" fontId="2" fillId="10" borderId="3" xfId="1" applyFont="1" applyFill="1" applyBorder="1" applyAlignment="1">
      <alignment wrapText="1"/>
    </xf>
    <xf numFmtId="0" fontId="2" fillId="11" borderId="0" xfId="0" applyFont="1" applyFill="1" applyAlignment="1">
      <alignment wrapText="1"/>
    </xf>
    <xf numFmtId="44" fontId="2" fillId="11" borderId="3" xfId="0" applyNumberFormat="1" applyFont="1" applyFill="1" applyBorder="1"/>
    <xf numFmtId="0" fontId="5" fillId="3" borderId="0" xfId="0" applyFont="1" applyFill="1"/>
    <xf numFmtId="0" fontId="0" fillId="3" borderId="0" xfId="0" applyFill="1"/>
    <xf numFmtId="0" fontId="15" fillId="3" borderId="0" xfId="0" applyFont="1" applyFill="1" applyAlignment="1">
      <alignment horizontal="left"/>
    </xf>
    <xf numFmtId="0" fontId="15" fillId="3" borderId="0" xfId="0" quotePrefix="1" applyFont="1" applyFill="1" applyAlignment="1">
      <alignment horizontal="left"/>
    </xf>
    <xf numFmtId="44" fontId="15" fillId="3" borderId="0" xfId="0" applyNumberFormat="1" applyFont="1" applyFill="1" applyAlignment="1">
      <alignment horizontal="center"/>
    </xf>
    <xf numFmtId="0" fontId="15" fillId="10" borderId="0" xfId="0" quotePrefix="1" applyFont="1" applyFill="1" applyAlignment="1">
      <alignment horizontal="left"/>
    </xf>
    <xf numFmtId="0" fontId="15" fillId="3" borderId="0" xfId="0" quotePrefix="1" applyFont="1" applyFill="1"/>
    <xf numFmtId="14" fontId="14" fillId="3" borderId="0" xfId="0" applyNumberFormat="1" applyFont="1" applyFill="1" applyAlignment="1">
      <alignment horizontal="right"/>
    </xf>
    <xf numFmtId="44" fontId="14" fillId="3" borderId="0" xfId="0" applyNumberFormat="1" applyFont="1" applyFill="1" applyAlignment="1">
      <alignment horizontal="center"/>
    </xf>
    <xf numFmtId="0" fontId="0" fillId="0" borderId="24" xfId="0" applyBorder="1"/>
    <xf numFmtId="43" fontId="0" fillId="9" borderId="7" xfId="2" applyFont="1" applyFill="1" applyBorder="1" applyAlignment="1">
      <alignment horizontal="center"/>
    </xf>
    <xf numFmtId="0" fontId="19" fillId="0" borderId="6" xfId="0" applyFont="1" applyBorder="1"/>
    <xf numFmtId="0" fontId="0" fillId="0" borderId="6" xfId="0" applyBorder="1" applyAlignment="1">
      <alignment horizontal="left"/>
    </xf>
    <xf numFmtId="43" fontId="14" fillId="7" borderId="2" xfId="2" applyFont="1" applyFill="1" applyBorder="1"/>
    <xf numFmtId="4" fontId="0" fillId="0" borderId="6" xfId="0" applyNumberFormat="1" applyBorder="1"/>
    <xf numFmtId="0" fontId="13" fillId="0" borderId="0" xfId="0" applyFont="1" applyAlignment="1">
      <alignment horizontal="right" vertical="center"/>
    </xf>
    <xf numFmtId="0" fontId="1" fillId="4" borderId="6" xfId="0" applyFont="1" applyFill="1" applyBorder="1" applyAlignment="1" applyProtection="1">
      <alignment horizontal="right"/>
      <protection locked="0"/>
    </xf>
    <xf numFmtId="0" fontId="0" fillId="0" borderId="25" xfId="0" applyBorder="1"/>
    <xf numFmtId="0" fontId="0" fillId="0" borderId="26" xfId="0" applyBorder="1"/>
    <xf numFmtId="0" fontId="5" fillId="7" borderId="0" xfId="0" applyFont="1" applyFill="1"/>
    <xf numFmtId="44" fontId="5" fillId="7" borderId="0" xfId="0" applyNumberFormat="1" applyFont="1" applyFill="1"/>
    <xf numFmtId="9" fontId="0" fillId="7" borderId="0" xfId="3" applyFont="1" applyFill="1"/>
    <xf numFmtId="44" fontId="0" fillId="7" borderId="0" xfId="1" applyFont="1" applyFill="1"/>
    <xf numFmtId="44" fontId="5" fillId="7" borderId="2" xfId="0" applyNumberFormat="1" applyFont="1" applyFill="1" applyBorder="1"/>
    <xf numFmtId="0" fontId="5" fillId="7" borderId="0" xfId="0" applyFont="1" applyFill="1" applyAlignment="1">
      <alignment horizontal="center"/>
    </xf>
    <xf numFmtId="44" fontId="0" fillId="7" borderId="0" xfId="1" applyFont="1" applyFill="1" applyAlignment="1">
      <alignment horizontal="center"/>
    </xf>
    <xf numFmtId="14" fontId="0" fillId="0" borderId="27" xfId="0" applyNumberFormat="1" applyBorder="1"/>
    <xf numFmtId="14" fontId="0" fillId="0" borderId="27" xfId="0" applyNumberFormat="1" applyBorder="1" applyAlignment="1">
      <alignment horizontal="center"/>
    </xf>
    <xf numFmtId="0" fontId="0" fillId="0" borderId="27" xfId="0" applyBorder="1"/>
    <xf numFmtId="0" fontId="0" fillId="0" borderId="27" xfId="0" applyBorder="1" applyAlignment="1">
      <alignment horizontal="right"/>
    </xf>
    <xf numFmtId="0" fontId="0" fillId="0" borderId="27" xfId="0" applyBorder="1" applyAlignment="1">
      <alignment horizontal="center"/>
    </xf>
    <xf numFmtId="43" fontId="0" fillId="0" borderId="27" xfId="2" applyFont="1" applyBorder="1" applyAlignment="1">
      <alignment horizontal="center"/>
    </xf>
    <xf numFmtId="9" fontId="0" fillId="0" borderId="27" xfId="3" applyFont="1" applyBorder="1" applyAlignment="1">
      <alignment horizontal="center"/>
    </xf>
    <xf numFmtId="14" fontId="0" fillId="0" borderId="26" xfId="0" applyNumberFormat="1" applyBorder="1"/>
    <xf numFmtId="14" fontId="0" fillId="0" borderId="26" xfId="0" applyNumberFormat="1" applyBorder="1" applyAlignment="1">
      <alignment horizontal="center"/>
    </xf>
    <xf numFmtId="43" fontId="0" fillId="0" borderId="26" xfId="2" applyFont="1" applyBorder="1" applyAlignment="1">
      <alignment horizontal="center"/>
    </xf>
    <xf numFmtId="0" fontId="0" fillId="0" borderId="26" xfId="0" applyBorder="1" applyAlignment="1">
      <alignment horizontal="right"/>
    </xf>
    <xf numFmtId="0" fontId="0" fillId="0" borderId="26" xfId="0" applyBorder="1" applyAlignment="1">
      <alignment horizontal="center"/>
    </xf>
    <xf numFmtId="9" fontId="0" fillId="0" borderId="26" xfId="3" applyFont="1" applyBorder="1" applyAlignment="1">
      <alignment horizontal="center"/>
    </xf>
    <xf numFmtId="0" fontId="20" fillId="4" borderId="0" xfId="0" applyFont="1" applyFill="1"/>
    <xf numFmtId="43" fontId="14" fillId="7" borderId="0" xfId="0" applyNumberFormat="1" applyFont="1" applyFill="1"/>
    <xf numFmtId="0" fontId="15" fillId="4" borderId="0" xfId="0" applyFont="1" applyFill="1"/>
    <xf numFmtId="44" fontId="1" fillId="0" borderId="0" xfId="0" applyNumberFormat="1" applyFont="1"/>
    <xf numFmtId="44" fontId="20" fillId="3" borderId="0" xfId="1" applyFont="1" applyFill="1"/>
    <xf numFmtId="44" fontId="15" fillId="3" borderId="0" xfId="1" applyFont="1" applyFill="1"/>
    <xf numFmtId="44" fontId="15" fillId="10" borderId="0" xfId="1" applyFont="1" applyFill="1"/>
    <xf numFmtId="44" fontId="14" fillId="3" borderId="0" xfId="1" applyFont="1" applyFill="1"/>
    <xf numFmtId="44" fontId="20" fillId="10" borderId="0" xfId="1" applyFont="1" applyFill="1"/>
    <xf numFmtId="44" fontId="15" fillId="3" borderId="0" xfId="1" applyFont="1" applyFill="1" applyBorder="1"/>
    <xf numFmtId="0" fontId="0" fillId="0" borderId="28" xfId="0" applyBorder="1"/>
    <xf numFmtId="14" fontId="0" fillId="0" borderId="29" xfId="0" applyNumberFormat="1" applyBorder="1"/>
    <xf numFmtId="14" fontId="0" fillId="0" borderId="29" xfId="0" applyNumberFormat="1" applyBorder="1" applyAlignment="1">
      <alignment horizontal="center"/>
    </xf>
    <xf numFmtId="0" fontId="0" fillId="0" borderId="29" xfId="0" applyBorder="1"/>
    <xf numFmtId="43" fontId="0" fillId="0" borderId="29" xfId="2" applyFont="1" applyBorder="1" applyAlignment="1">
      <alignment horizontal="center"/>
    </xf>
    <xf numFmtId="0" fontId="0" fillId="0" borderId="29" xfId="0" applyBorder="1" applyAlignment="1">
      <alignment horizontal="right"/>
    </xf>
    <xf numFmtId="0" fontId="0" fillId="0" borderId="29" xfId="0" applyBorder="1" applyAlignment="1">
      <alignment horizontal="center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2" fillId="0" borderId="0" xfId="0" applyFont="1"/>
    <xf numFmtId="0" fontId="21" fillId="0" borderId="0" xfId="0" applyFont="1"/>
    <xf numFmtId="44" fontId="21" fillId="0" borderId="0" xfId="0" applyNumberFormat="1" applyFont="1"/>
    <xf numFmtId="0" fontId="21" fillId="0" borderId="0" xfId="0" applyFont="1" applyAlignment="1">
      <alignment horizontal="center"/>
    </xf>
    <xf numFmtId="0" fontId="22" fillId="7" borderId="0" xfId="0" applyFont="1" applyFill="1"/>
    <xf numFmtId="44" fontId="21" fillId="7" borderId="0" xfId="1" applyFont="1" applyFill="1"/>
    <xf numFmtId="0" fontId="21" fillId="0" borderId="1" xfId="0" applyFont="1" applyBorder="1" applyAlignment="1">
      <alignment horizontal="center"/>
    </xf>
    <xf numFmtId="44" fontId="21" fillId="0" borderId="1" xfId="0" applyNumberFormat="1" applyFont="1" applyBorder="1" applyAlignment="1">
      <alignment horizontal="center"/>
    </xf>
    <xf numFmtId="0" fontId="22" fillId="7" borderId="0" xfId="0" applyFont="1" applyFill="1" applyAlignment="1">
      <alignment horizontal="center"/>
    </xf>
    <xf numFmtId="44" fontId="21" fillId="7" borderId="0" xfId="1" applyFont="1" applyFill="1" applyAlignment="1">
      <alignment horizontal="center"/>
    </xf>
    <xf numFmtId="0" fontId="22" fillId="3" borderId="0" xfId="0" applyFont="1" applyFill="1"/>
    <xf numFmtId="0" fontId="21" fillId="3" borderId="0" xfId="0" applyFont="1" applyFill="1"/>
    <xf numFmtId="0" fontId="21" fillId="3" borderId="0" xfId="0" quotePrefix="1" applyFont="1" applyFill="1" applyAlignment="1">
      <alignment horizontal="left"/>
    </xf>
    <xf numFmtId="14" fontId="21" fillId="3" borderId="0" xfId="0" applyNumberFormat="1" applyFont="1" applyFill="1"/>
    <xf numFmtId="44" fontId="21" fillId="3" borderId="0" xfId="0" applyNumberFormat="1" applyFont="1" applyFill="1"/>
    <xf numFmtId="0" fontId="21" fillId="3" borderId="0" xfId="0" applyFont="1" applyFill="1" applyAlignment="1">
      <alignment horizontal="center"/>
    </xf>
    <xf numFmtId="0" fontId="21" fillId="4" borderId="0" xfId="0" applyFont="1" applyFill="1"/>
    <xf numFmtId="44" fontId="22" fillId="7" borderId="0" xfId="0" applyNumberFormat="1" applyFont="1" applyFill="1"/>
    <xf numFmtId="9" fontId="21" fillId="7" borderId="0" xfId="3" applyFont="1" applyFill="1"/>
    <xf numFmtId="0" fontId="21" fillId="0" borderId="0" xfId="0" applyFont="1" applyAlignment="1">
      <alignment horizontal="left"/>
    </xf>
    <xf numFmtId="44" fontId="22" fillId="7" borderId="2" xfId="0" applyNumberFormat="1" applyFont="1" applyFill="1" applyBorder="1"/>
    <xf numFmtId="0" fontId="22" fillId="10" borderId="0" xfId="0" applyFont="1" applyFill="1"/>
    <xf numFmtId="0" fontId="21" fillId="10" borderId="0" xfId="0" applyFont="1" applyFill="1" applyAlignment="1">
      <alignment horizontal="left"/>
    </xf>
    <xf numFmtId="0" fontId="21" fillId="10" borderId="0" xfId="0" quotePrefix="1" applyFont="1" applyFill="1" applyAlignment="1">
      <alignment horizontal="left"/>
    </xf>
    <xf numFmtId="14" fontId="21" fillId="10" borderId="0" xfId="0" applyNumberFormat="1" applyFont="1" applyFill="1"/>
    <xf numFmtId="44" fontId="21" fillId="10" borderId="0" xfId="0" applyNumberFormat="1" applyFont="1" applyFill="1"/>
    <xf numFmtId="0" fontId="21" fillId="10" borderId="0" xfId="0" applyFont="1" applyFill="1" applyAlignment="1">
      <alignment horizontal="center"/>
    </xf>
    <xf numFmtId="0" fontId="21" fillId="10" borderId="0" xfId="0" applyFont="1" applyFill="1"/>
    <xf numFmtId="44" fontId="21" fillId="0" borderId="2" xfId="0" applyNumberFormat="1" applyFont="1" applyBorder="1"/>
    <xf numFmtId="44" fontId="21" fillId="0" borderId="3" xfId="0" applyNumberFormat="1" applyFont="1" applyBorder="1"/>
    <xf numFmtId="44" fontId="21" fillId="0" borderId="0" xfId="0" applyNumberFormat="1" applyFont="1" applyAlignment="1">
      <alignment horizontal="center"/>
    </xf>
    <xf numFmtId="0" fontId="22" fillId="3" borderId="0" xfId="0" applyFont="1" applyFill="1" applyAlignment="1">
      <alignment horizontal="left"/>
    </xf>
    <xf numFmtId="14" fontId="22" fillId="3" borderId="0" xfId="0" applyNumberFormat="1" applyFont="1" applyFill="1"/>
    <xf numFmtId="44" fontId="22" fillId="3" borderId="0" xfId="0" applyNumberFormat="1" applyFont="1" applyFill="1"/>
    <xf numFmtId="0" fontId="22" fillId="3" borderId="0" xfId="0" applyFont="1" applyFill="1" applyAlignment="1">
      <alignment horizontal="center"/>
    </xf>
    <xf numFmtId="0" fontId="21" fillId="4" borderId="0" xfId="0" applyFont="1" applyFill="1" applyAlignment="1">
      <alignment horizontal="left" indent="1"/>
    </xf>
    <xf numFmtId="0" fontId="22" fillId="3" borderId="0" xfId="0" quotePrefix="1" applyFont="1" applyFill="1" applyAlignment="1">
      <alignment horizontal="left"/>
    </xf>
    <xf numFmtId="0" fontId="21" fillId="3" borderId="0" xfId="0" applyFont="1" applyFill="1" applyAlignment="1">
      <alignment horizontal="left"/>
    </xf>
    <xf numFmtId="44" fontId="22" fillId="7" borderId="2" xfId="1" applyFont="1" applyFill="1" applyBorder="1"/>
    <xf numFmtId="44" fontId="22" fillId="7" borderId="0" xfId="1" applyFont="1" applyFill="1" applyBorder="1"/>
    <xf numFmtId="44" fontId="22" fillId="4" borderId="0" xfId="0" applyNumberFormat="1" applyFont="1" applyFill="1"/>
    <xf numFmtId="43" fontId="21" fillId="0" borderId="0" xfId="0" applyNumberFormat="1" applyFont="1"/>
    <xf numFmtId="14" fontId="22" fillId="10" borderId="0" xfId="0" applyNumberFormat="1" applyFont="1" applyFill="1"/>
    <xf numFmtId="44" fontId="22" fillId="10" borderId="0" xfId="0" applyNumberFormat="1" applyFont="1" applyFill="1"/>
    <xf numFmtId="0" fontId="22" fillId="10" borderId="0" xfId="0" applyFont="1" applyFill="1" applyAlignment="1">
      <alignment horizontal="center"/>
    </xf>
    <xf numFmtId="0" fontId="22" fillId="0" borderId="0" xfId="0" applyFont="1"/>
    <xf numFmtId="0" fontId="22" fillId="0" borderId="0" xfId="0" quotePrefix="1" applyFont="1"/>
    <xf numFmtId="14" fontId="22" fillId="0" borderId="0" xfId="0" applyNumberFormat="1" applyFont="1"/>
    <xf numFmtId="44" fontId="22" fillId="0" borderId="0" xfId="0" applyNumberFormat="1" applyFont="1"/>
    <xf numFmtId="0" fontId="22" fillId="0" borderId="0" xfId="0" applyFont="1" applyAlignment="1">
      <alignment horizontal="center"/>
    </xf>
    <xf numFmtId="44" fontId="22" fillId="7" borderId="3" xfId="0" applyNumberFormat="1" applyFont="1" applyFill="1" applyBorder="1"/>
    <xf numFmtId="0" fontId="21" fillId="0" borderId="0" xfId="0" applyFont="1" applyAlignment="1">
      <alignment horizontal="center" wrapText="1"/>
    </xf>
    <xf numFmtId="0" fontId="21" fillId="0" borderId="0" xfId="0" applyFont="1" applyAlignment="1">
      <alignment horizontal="left" vertical="center" wrapText="1" indent="1"/>
    </xf>
    <xf numFmtId="44" fontId="21" fillId="0" borderId="0" xfId="0" applyNumberFormat="1" applyFont="1" applyAlignment="1">
      <alignment horizontal="left" vertical="center" wrapText="1" indent="1"/>
    </xf>
    <xf numFmtId="44" fontId="21" fillId="0" borderId="0" xfId="0" applyNumberFormat="1" applyFont="1" applyAlignment="1">
      <alignment vertical="center" wrapText="1"/>
    </xf>
    <xf numFmtId="0" fontId="21" fillId="0" borderId="0" xfId="0" applyFont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22" fillId="7" borderId="0" xfId="0" applyFont="1" applyFill="1" applyAlignment="1">
      <alignment vertical="center" wrapText="1"/>
    </xf>
    <xf numFmtId="44" fontId="21" fillId="7" borderId="0" xfId="1" applyFont="1" applyFill="1" applyAlignment="1">
      <alignment vertical="center" wrapText="1"/>
    </xf>
    <xf numFmtId="0" fontId="22" fillId="3" borderId="27" xfId="0" applyFont="1" applyFill="1" applyBorder="1" applyAlignment="1">
      <alignment horizontal="left" indent="1"/>
    </xf>
    <xf numFmtId="0" fontId="22" fillId="12" borderId="27" xfId="0" applyFont="1" applyFill="1" applyBorder="1" applyAlignment="1">
      <alignment horizontal="left" indent="1"/>
    </xf>
    <xf numFmtId="0" fontId="21" fillId="3" borderId="27" xfId="0" applyFont="1" applyFill="1" applyBorder="1" applyAlignment="1">
      <alignment horizontal="left" indent="1"/>
    </xf>
    <xf numFmtId="14" fontId="22" fillId="12" borderId="27" xfId="0" applyNumberFormat="1" applyFont="1" applyFill="1" applyBorder="1" applyAlignment="1">
      <alignment horizontal="left" indent="1"/>
    </xf>
    <xf numFmtId="43" fontId="21" fillId="3" borderId="33" xfId="0" applyNumberFormat="1" applyFont="1" applyFill="1" applyBorder="1" applyAlignment="1">
      <alignment horizontal="left" indent="1"/>
    </xf>
    <xf numFmtId="43" fontId="22" fillId="12" borderId="27" xfId="0" applyNumberFormat="1" applyFont="1" applyFill="1" applyBorder="1" applyAlignment="1">
      <alignment horizontal="left" indent="1"/>
    </xf>
    <xf numFmtId="0" fontId="21" fillId="0" borderId="0" xfId="0" applyFont="1" applyAlignment="1">
      <alignment horizontal="left" indent="1"/>
    </xf>
    <xf numFmtId="44" fontId="21" fillId="0" borderId="0" xfId="0" applyNumberFormat="1" applyFont="1" applyAlignment="1">
      <alignment horizontal="left" indent="1"/>
    </xf>
    <xf numFmtId="43" fontId="21" fillId="0" borderId="27" xfId="0" applyNumberFormat="1" applyFont="1" applyBorder="1" applyAlignment="1">
      <alignment horizontal="left" indent="1"/>
    </xf>
    <xf numFmtId="0" fontId="21" fillId="13" borderId="0" xfId="0" applyFont="1" applyFill="1"/>
    <xf numFmtId="0" fontId="5" fillId="14" borderId="0" xfId="0" applyFont="1" applyFill="1"/>
    <xf numFmtId="0" fontId="0" fillId="14" borderId="0" xfId="0" applyFill="1"/>
    <xf numFmtId="0" fontId="0" fillId="14" borderId="0" xfId="0" quotePrefix="1" applyFill="1"/>
    <xf numFmtId="14" fontId="0" fillId="14" borderId="0" xfId="0" applyNumberFormat="1" applyFill="1"/>
    <xf numFmtId="44" fontId="0" fillId="14" borderId="0" xfId="0" applyNumberFormat="1" applyFill="1"/>
    <xf numFmtId="0" fontId="0" fillId="14" borderId="0" xfId="0" applyFill="1" applyAlignment="1">
      <alignment horizontal="left"/>
    </xf>
    <xf numFmtId="0" fontId="0" fillId="14" borderId="0" xfId="0" applyFill="1" applyAlignment="1">
      <alignment horizontal="right"/>
    </xf>
    <xf numFmtId="49" fontId="5" fillId="14" borderId="0" xfId="0" applyNumberFormat="1" applyFont="1" applyFill="1" applyAlignment="1">
      <alignment horizontal="left"/>
    </xf>
    <xf numFmtId="0" fontId="5" fillId="14" borderId="0" xfId="0" applyFont="1" applyFill="1" applyAlignment="1">
      <alignment horizontal="left"/>
    </xf>
    <xf numFmtId="14" fontId="5" fillId="14" borderId="0" xfId="0" applyNumberFormat="1" applyFont="1" applyFill="1"/>
    <xf numFmtId="44" fontId="5" fillId="14" borderId="0" xfId="0" applyNumberFormat="1" applyFont="1" applyFill="1"/>
    <xf numFmtId="0" fontId="5" fillId="14" borderId="0" xfId="0" quotePrefix="1" applyFont="1" applyFill="1"/>
    <xf numFmtId="0" fontId="5" fillId="14" borderId="0" xfId="4" applyFont="1" applyFill="1" applyProtection="1">
      <protection locked="0"/>
    </xf>
    <xf numFmtId="0" fontId="11" fillId="14" borderId="0" xfId="0" applyFont="1" applyFill="1"/>
    <xf numFmtId="49" fontId="0" fillId="14" borderId="0" xfId="0" applyNumberFormat="1" applyFill="1" applyAlignment="1">
      <alignment horizontal="left"/>
    </xf>
    <xf numFmtId="0" fontId="0" fillId="15" borderId="29" xfId="0" applyFill="1" applyBorder="1"/>
    <xf numFmtId="0" fontId="0" fillId="15" borderId="0" xfId="0" applyFill="1"/>
    <xf numFmtId="0" fontId="14" fillId="7" borderId="1" xfId="0" applyFont="1" applyFill="1" applyBorder="1"/>
    <xf numFmtId="0" fontId="2" fillId="3" borderId="0" xfId="0" applyFont="1" applyFill="1" applyAlignment="1">
      <alignment wrapText="1"/>
    </xf>
    <xf numFmtId="0" fontId="23" fillId="16" borderId="0" xfId="0" applyFont="1" applyFill="1"/>
    <xf numFmtId="4" fontId="22" fillId="3" borderId="0" xfId="0" applyNumberFormat="1" applyFont="1" applyFill="1"/>
    <xf numFmtId="9" fontId="0" fillId="0" borderId="29" xfId="3" applyFont="1" applyBorder="1" applyAlignment="1">
      <alignment horizontal="center"/>
    </xf>
    <xf numFmtId="0" fontId="24" fillId="16" borderId="0" xfId="0" applyFont="1" applyFill="1"/>
    <xf numFmtId="0" fontId="25" fillId="3" borderId="0" xfId="0" applyFont="1" applyFill="1"/>
    <xf numFmtId="0" fontId="26" fillId="3" borderId="0" xfId="0" applyFont="1" applyFill="1"/>
    <xf numFmtId="14" fontId="25" fillId="3" borderId="0" xfId="0" applyNumberFormat="1" applyFont="1" applyFill="1"/>
    <xf numFmtId="44" fontId="25" fillId="4" borderId="0" xfId="0" applyNumberFormat="1" applyFont="1" applyFill="1"/>
    <xf numFmtId="44" fontId="25" fillId="3" borderId="0" xfId="0" applyNumberFormat="1" applyFont="1" applyFill="1"/>
    <xf numFmtId="0" fontId="25" fillId="3" borderId="0" xfId="0" applyFont="1" applyFill="1" applyAlignment="1">
      <alignment horizontal="center"/>
    </xf>
    <xf numFmtId="44" fontId="26" fillId="3" borderId="0" xfId="0" applyNumberFormat="1" applyFont="1" applyFill="1"/>
    <xf numFmtId="0" fontId="26" fillId="3" borderId="0" xfId="0" applyFont="1" applyFill="1" applyAlignment="1">
      <alignment horizontal="center"/>
    </xf>
    <xf numFmtId="43" fontId="26" fillId="0" borderId="0" xfId="0" applyNumberFormat="1" applyFont="1"/>
    <xf numFmtId="0" fontId="27" fillId="17" borderId="0" xfId="0" applyFont="1" applyFill="1"/>
    <xf numFmtId="0" fontId="28" fillId="17" borderId="0" xfId="0" applyFont="1" applyFill="1"/>
    <xf numFmtId="0" fontId="26" fillId="4" borderId="0" xfId="0" applyFont="1" applyFill="1"/>
    <xf numFmtId="0" fontId="23" fillId="3" borderId="0" xfId="0" applyFont="1" applyFill="1"/>
    <xf numFmtId="0" fontId="23" fillId="10" borderId="0" xfId="0" applyFont="1" applyFill="1"/>
    <xf numFmtId="0" fontId="21" fillId="18" borderId="0" xfId="0" applyFont="1" applyFill="1"/>
    <xf numFmtId="43" fontId="0" fillId="0" borderId="33" xfId="2" applyFont="1" applyBorder="1" applyAlignment="1">
      <alignment horizontal="center"/>
    </xf>
    <xf numFmtId="43" fontId="0" fillId="0" borderId="30" xfId="2" applyFont="1" applyBorder="1" applyAlignment="1">
      <alignment horizontal="center"/>
    </xf>
    <xf numFmtId="43" fontId="0" fillId="0" borderId="34" xfId="2" applyFont="1" applyBorder="1" applyAlignment="1">
      <alignment horizontal="center"/>
    </xf>
    <xf numFmtId="0" fontId="0" fillId="0" borderId="34" xfId="0" applyBorder="1"/>
    <xf numFmtId="9" fontId="0" fillId="0" borderId="34" xfId="3" applyFont="1" applyBorder="1" applyAlignment="1">
      <alignment horizontal="center"/>
    </xf>
    <xf numFmtId="0" fontId="0" fillId="0" borderId="34" xfId="0" applyBorder="1" applyAlignment="1">
      <alignment horizontal="center"/>
    </xf>
    <xf numFmtId="43" fontId="0" fillId="0" borderId="27" xfId="2" applyFont="1" applyFill="1" applyBorder="1" applyAlignment="1">
      <alignment horizontal="center"/>
    </xf>
    <xf numFmtId="14" fontId="15" fillId="3" borderId="0" xfId="0" applyNumberFormat="1" applyFont="1" applyFill="1" applyAlignment="1">
      <alignment horizontal="right"/>
    </xf>
    <xf numFmtId="0" fontId="16" fillId="3" borderId="0" xfId="0" applyFont="1" applyFill="1"/>
    <xf numFmtId="0" fontId="0" fillId="14" borderId="0" xfId="0" quotePrefix="1" applyFill="1" applyAlignment="1">
      <alignment horizontal="left"/>
    </xf>
    <xf numFmtId="44" fontId="15" fillId="4" borderId="0" xfId="0" applyNumberFormat="1" applyFont="1" applyFill="1"/>
    <xf numFmtId="0" fontId="15" fillId="4" borderId="0" xfId="0" applyFont="1" applyFill="1" applyAlignment="1">
      <alignment horizontal="center"/>
    </xf>
    <xf numFmtId="44" fontId="14" fillId="10" borderId="0" xfId="0" applyNumberFormat="1" applyFont="1" applyFill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5">
    <cellStyle name="Comma" xfId="2" builtinId="3"/>
    <cellStyle name="Currency" xfId="1" builtinId="4"/>
    <cellStyle name="Normal" xfId="0" builtinId="0"/>
    <cellStyle name="Normal 3" xfId="4" xr:uid="{1A7D8DCC-8ABB-4A17-8CC2-E29CAE5BA703}"/>
    <cellStyle name="Percent" xfId="3" builtinId="5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B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9"/>
  <sheetViews>
    <sheetView zoomScale="80" zoomScaleNormal="80" workbookViewId="0">
      <selection activeCell="G12" sqref="G12"/>
    </sheetView>
  </sheetViews>
  <sheetFormatPr defaultRowHeight="15"/>
  <cols>
    <col min="1" max="1" width="26.140625" bestFit="1" customWidth="1"/>
    <col min="2" max="2" width="9.140625" customWidth="1"/>
    <col min="3" max="3" width="19.7109375" bestFit="1" customWidth="1"/>
    <col min="6" max="6" width="17" bestFit="1" customWidth="1"/>
    <col min="7" max="7" width="5.85546875" bestFit="1" customWidth="1"/>
    <col min="9" max="9" width="22" customWidth="1"/>
    <col min="11" max="11" width="16.85546875" bestFit="1" customWidth="1"/>
    <col min="12" max="12" width="11.5703125" bestFit="1" customWidth="1"/>
    <col min="14" max="14" width="14.28515625" bestFit="1" customWidth="1"/>
    <col min="16" max="16" width="14.85546875" bestFit="1" customWidth="1"/>
    <col min="17" max="17" width="20.42578125" customWidth="1"/>
    <col min="19" max="19" width="14.42578125" bestFit="1" customWidth="1"/>
  </cols>
  <sheetData>
    <row r="1" spans="1:20" ht="18.75">
      <c r="A1" s="330" t="s">
        <v>0</v>
      </c>
      <c r="B1" s="330"/>
      <c r="C1" s="330"/>
      <c r="D1" s="330"/>
      <c r="E1" s="330"/>
      <c r="F1" s="330"/>
      <c r="H1" s="56"/>
      <c r="I1" s="330" t="s">
        <v>1</v>
      </c>
      <c r="J1" s="330"/>
      <c r="K1" s="330"/>
      <c r="L1" s="330"/>
      <c r="M1" s="330"/>
      <c r="N1" s="330"/>
    </row>
    <row r="2" spans="1:20">
      <c r="H2" s="56"/>
    </row>
    <row r="3" spans="1:20">
      <c r="B3" s="329" t="s">
        <v>2</v>
      </c>
      <c r="C3" s="329"/>
      <c r="E3" s="329" t="s">
        <v>3</v>
      </c>
      <c r="F3" s="329"/>
      <c r="H3" s="56"/>
      <c r="J3" s="329" t="s">
        <v>2</v>
      </c>
      <c r="K3" s="329"/>
      <c r="M3" s="329" t="s">
        <v>3</v>
      </c>
      <c r="N3" s="329"/>
    </row>
    <row r="4" spans="1:20">
      <c r="B4" t="s">
        <v>4</v>
      </c>
      <c r="C4" s="2">
        <f>'QTR1'!F24</f>
        <v>766829.6</v>
      </c>
      <c r="E4" t="s">
        <v>4</v>
      </c>
      <c r="F4" s="2">
        <f>'QTR1'!F64</f>
        <v>2634352.12</v>
      </c>
      <c r="H4" s="56"/>
      <c r="J4" t="s">
        <v>4</v>
      </c>
      <c r="K4" s="2">
        <f>'QTR1'!F23</f>
        <v>55076.66</v>
      </c>
      <c r="M4" t="s">
        <v>4</v>
      </c>
      <c r="N4" s="2">
        <f>'QTR1'!F63</f>
        <v>0</v>
      </c>
    </row>
    <row r="5" spans="1:20">
      <c r="B5" t="s">
        <v>5</v>
      </c>
      <c r="C5" s="2">
        <f>'QTR2'!F34</f>
        <v>568591.67999999993</v>
      </c>
      <c r="E5" t="s">
        <v>5</v>
      </c>
      <c r="F5" s="2">
        <f>'QTR2'!F55</f>
        <v>1125969.48</v>
      </c>
      <c r="H5" s="56"/>
      <c r="J5" t="s">
        <v>5</v>
      </c>
      <c r="K5" s="2">
        <f>'QTR2'!F33</f>
        <v>0</v>
      </c>
      <c r="M5" t="s">
        <v>5</v>
      </c>
      <c r="N5" s="2">
        <f>'QTR2'!F54</f>
        <v>0</v>
      </c>
    </row>
    <row r="6" spans="1:20">
      <c r="B6" t="s">
        <v>6</v>
      </c>
      <c r="C6" s="2">
        <f>'QTR3'!F29</f>
        <v>0</v>
      </c>
      <c r="E6" t="s">
        <v>6</v>
      </c>
      <c r="F6" s="2">
        <f>'QTR3'!F55</f>
        <v>0</v>
      </c>
      <c r="H6" s="56"/>
      <c r="J6" t="s">
        <v>6</v>
      </c>
      <c r="K6" s="2">
        <f>'QTR3'!F28</f>
        <v>0</v>
      </c>
      <c r="M6" t="s">
        <v>6</v>
      </c>
      <c r="N6" s="2">
        <f>'QTR3'!F54</f>
        <v>0</v>
      </c>
    </row>
    <row r="7" spans="1:20">
      <c r="B7" t="s">
        <v>7</v>
      </c>
      <c r="C7" s="2">
        <f>'QTR4'!F22</f>
        <v>0</v>
      </c>
      <c r="E7" t="s">
        <v>7</v>
      </c>
      <c r="F7" s="2">
        <f>'QTR4'!F73</f>
        <v>0</v>
      </c>
      <c r="H7" s="56"/>
      <c r="J7" t="s">
        <v>7</v>
      </c>
      <c r="K7" s="2">
        <f>'QTR4'!F21</f>
        <v>0</v>
      </c>
      <c r="M7" t="s">
        <v>7</v>
      </c>
      <c r="N7" s="2">
        <f>'QTR4'!F72</f>
        <v>0</v>
      </c>
    </row>
    <row r="8" spans="1:20" ht="15.75">
      <c r="C8" s="9">
        <f>SUM(C4:C7)</f>
        <v>1335421.2799999998</v>
      </c>
      <c r="F8" s="9">
        <f>SUM(F4:F7)</f>
        <v>3760321.6</v>
      </c>
      <c r="H8" s="56"/>
      <c r="K8" s="9">
        <f>SUM(K4:K7)</f>
        <v>55076.66</v>
      </c>
      <c r="N8" s="9">
        <f>SUM(N4:N7)</f>
        <v>0</v>
      </c>
    </row>
    <row r="9" spans="1:20">
      <c r="H9" s="56"/>
    </row>
    <row r="10" spans="1:20">
      <c r="H10" s="56"/>
    </row>
    <row r="11" spans="1:20" ht="15.75" thickBot="1">
      <c r="H11" s="56"/>
    </row>
    <row r="12" spans="1:20" ht="46.5" thickBot="1">
      <c r="A12" s="296" t="s">
        <v>8</v>
      </c>
      <c r="B12" s="144"/>
      <c r="C12" s="145">
        <f>C8+F8</f>
        <v>5095742.88</v>
      </c>
      <c r="H12" s="56"/>
      <c r="I12" s="146" t="s">
        <v>9</v>
      </c>
      <c r="J12" s="146"/>
      <c r="K12" s="147">
        <f>K8+N8</f>
        <v>55076.66</v>
      </c>
      <c r="L12" s="2"/>
      <c r="P12" s="22">
        <f>'QTR1'!I69+'QTR2'!I61+'QTR3'!I59+'QTR4'!I77</f>
        <v>454784.6133333334</v>
      </c>
      <c r="Q12" s="55" t="s">
        <v>10</v>
      </c>
      <c r="S12" s="2">
        <f>C12*0.07</f>
        <v>356702.00160000002</v>
      </c>
      <c r="T12" s="8" t="s">
        <v>11</v>
      </c>
    </row>
    <row r="13" spans="1:20" ht="15.75" thickTop="1">
      <c r="H13" s="56"/>
    </row>
    <row r="14" spans="1:20">
      <c r="H14" s="56"/>
    </row>
    <row r="15" spans="1:20" ht="9" customHeight="1">
      <c r="A15" s="24"/>
      <c r="B15" s="24"/>
      <c r="C15" s="24"/>
      <c r="D15" s="24"/>
      <c r="E15" s="24"/>
      <c r="F15" s="24"/>
      <c r="H15" s="56"/>
    </row>
    <row r="16" spans="1:20" ht="45">
      <c r="A16" t="s">
        <v>12</v>
      </c>
      <c r="C16" s="2">
        <f>Forecast!C15</f>
        <v>0</v>
      </c>
      <c r="F16" s="2">
        <f>Forecast!C26</f>
        <v>0</v>
      </c>
      <c r="H16" s="56"/>
      <c r="P16" s="23">
        <f>Forecast!E30</f>
        <v>0</v>
      </c>
      <c r="Q16" s="55" t="s">
        <v>13</v>
      </c>
    </row>
    <row r="17" spans="1:20">
      <c r="H17" s="56"/>
    </row>
    <row r="18" spans="1:20">
      <c r="H18" s="56"/>
    </row>
    <row r="19" spans="1:20">
      <c r="A19" t="s">
        <v>14</v>
      </c>
      <c r="C19" s="5">
        <f>C8+C16</f>
        <v>1335421.2799999998</v>
      </c>
      <c r="F19" s="5">
        <f>F8+F16</f>
        <v>3760321.6</v>
      </c>
      <c r="H19" s="56"/>
    </row>
    <row r="20" spans="1:20">
      <c r="C20" s="2"/>
      <c r="F20" s="2"/>
      <c r="H20" s="56"/>
    </row>
    <row r="21" spans="1:20">
      <c r="C21" s="2"/>
      <c r="F21" s="2"/>
      <c r="H21" s="56"/>
    </row>
    <row r="22" spans="1:20">
      <c r="H22" s="56"/>
    </row>
    <row r="23" spans="1:20" ht="46.5" thickBot="1">
      <c r="A23" s="148" t="s">
        <v>15</v>
      </c>
      <c r="B23" s="148"/>
      <c r="C23" s="149">
        <f>C19+F19</f>
        <v>5095742.88</v>
      </c>
      <c r="H23" s="56"/>
      <c r="P23" s="7">
        <f>P12+P16</f>
        <v>454784.6133333334</v>
      </c>
      <c r="Q23" s="55" t="s">
        <v>16</v>
      </c>
      <c r="S23" s="2">
        <f>C23*0.07</f>
        <v>356702.00160000002</v>
      </c>
      <c r="T23" s="8" t="s">
        <v>11</v>
      </c>
    </row>
    <row r="24" spans="1:20" ht="15.75" thickTop="1">
      <c r="H24" s="56"/>
    </row>
    <row r="25" spans="1:20">
      <c r="C25" s="2"/>
      <c r="H25" s="56"/>
      <c r="S25" s="2"/>
    </row>
    <row r="26" spans="1:20">
      <c r="H26" s="56"/>
    </row>
    <row r="27" spans="1:20">
      <c r="H27" s="56"/>
    </row>
    <row r="28" spans="1:20" ht="15.75" thickBot="1">
      <c r="H28" s="56"/>
    </row>
    <row r="29" spans="1:20" ht="15.75" thickBot="1">
      <c r="A29" s="65" t="s">
        <v>17</v>
      </c>
      <c r="B29" s="66"/>
      <c r="C29" s="66"/>
      <c r="D29" s="67"/>
      <c r="H29" s="56"/>
    </row>
    <row r="30" spans="1:20">
      <c r="A30" s="68"/>
      <c r="B30" s="58"/>
      <c r="C30" s="59" t="s">
        <v>18</v>
      </c>
      <c r="D30" s="69" t="s">
        <v>19</v>
      </c>
      <c r="H30" s="56"/>
    </row>
    <row r="31" spans="1:20">
      <c r="A31" s="70" t="s">
        <v>20</v>
      </c>
      <c r="B31" s="57"/>
      <c r="C31" s="60">
        <f>'QTR1'!O69+'QTR2'!O57+'QTR3'!O61+'QTR4'!O68</f>
        <v>3710372.87</v>
      </c>
      <c r="D31" s="71">
        <f>C31/C35</f>
        <v>0.72813188525713057</v>
      </c>
      <c r="F31" s="2"/>
      <c r="H31" s="56"/>
      <c r="I31" s="2"/>
    </row>
    <row r="32" spans="1:20">
      <c r="A32" s="70" t="s">
        <v>21</v>
      </c>
      <c r="B32" s="57"/>
      <c r="C32" s="60">
        <f>'QTR1'!O70+'QTR2'!O58+'QTR3'!O62+'QTR4'!O69</f>
        <v>1195992.49</v>
      </c>
      <c r="D32" s="71">
        <f>C32/C35</f>
        <v>0.2347042459096759</v>
      </c>
      <c r="F32" s="2"/>
      <c r="H32" s="56"/>
      <c r="I32" s="2"/>
    </row>
    <row r="33" spans="1:11" ht="15.75" thickBot="1">
      <c r="A33" s="72" t="s">
        <v>22</v>
      </c>
      <c r="B33" s="61"/>
      <c r="C33" s="62">
        <f>'QTR1'!O71+'QTR2'!O59+'QTR3'!O63+'QTR4'!O70</f>
        <v>189377.52</v>
      </c>
      <c r="D33" s="71">
        <f>C33/C35</f>
        <v>3.7163868833193558E-2</v>
      </c>
      <c r="F33" s="192"/>
      <c r="H33" s="56"/>
      <c r="I33" s="2"/>
    </row>
    <row r="34" spans="1:11">
      <c r="A34" s="70"/>
      <c r="B34" s="57"/>
      <c r="C34" s="57"/>
      <c r="D34" s="73"/>
      <c r="H34" s="56"/>
    </row>
    <row r="35" spans="1:11" ht="15.75" thickBot="1">
      <c r="A35" s="74"/>
      <c r="B35" s="75"/>
      <c r="C35" s="76">
        <f>SUM(C31:C34)</f>
        <v>5095742.88</v>
      </c>
      <c r="D35" s="77"/>
      <c r="H35" s="56"/>
    </row>
    <row r="36" spans="1:11">
      <c r="H36" s="56"/>
    </row>
    <row r="37" spans="1:11" ht="15.75" thickBot="1">
      <c r="C37" s="2"/>
      <c r="G37" s="63" t="s">
        <v>23</v>
      </c>
      <c r="H37" s="63"/>
      <c r="I37" s="64">
        <f>C23+K12</f>
        <v>5150819.54</v>
      </c>
      <c r="K37" s="2"/>
    </row>
    <row r="38" spans="1:11" ht="15.75" thickTop="1">
      <c r="K38" s="2"/>
    </row>
    <row r="39" spans="1:11">
      <c r="I39" s="2"/>
    </row>
  </sheetData>
  <mergeCells count="6">
    <mergeCell ref="E3:F3"/>
    <mergeCell ref="A1:F1"/>
    <mergeCell ref="B3:C3"/>
    <mergeCell ref="I1:N1"/>
    <mergeCell ref="J3:K3"/>
    <mergeCell ref="M3:N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5"/>
  <sheetViews>
    <sheetView workbookViewId="0"/>
  </sheetViews>
  <sheetFormatPr defaultRowHeight="15"/>
  <cols>
    <col min="1" max="1" width="16.5703125" bestFit="1" customWidth="1"/>
    <col min="2" max="2" width="13.7109375" bestFit="1" customWidth="1"/>
    <col min="3" max="3" width="18" bestFit="1" customWidth="1"/>
  </cols>
  <sheetData>
    <row r="1" spans="1:4">
      <c r="A1" t="s">
        <v>620</v>
      </c>
      <c r="B1" t="s">
        <v>621</v>
      </c>
      <c r="C1" t="s">
        <v>622</v>
      </c>
    </row>
    <row r="2" spans="1:4">
      <c r="A2" t="s">
        <v>623</v>
      </c>
      <c r="B2" t="s">
        <v>624</v>
      </c>
      <c r="C2" t="s">
        <v>625</v>
      </c>
      <c r="D2" t="s">
        <v>626</v>
      </c>
    </row>
    <row r="12" spans="1:4">
      <c r="C12" s="25"/>
    </row>
    <row r="13" spans="1:4">
      <c r="C13" s="25"/>
    </row>
    <row r="14" spans="1:4">
      <c r="C14" s="25"/>
    </row>
    <row r="15" spans="1:4">
      <c r="C15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5FC4F-2A72-4575-9976-6CA3F2B51D5D}">
  <dimension ref="A2:G14"/>
  <sheetViews>
    <sheetView workbookViewId="0">
      <selection activeCell="F4" sqref="F4"/>
    </sheetView>
  </sheetViews>
  <sheetFormatPr defaultRowHeight="15"/>
  <cols>
    <col min="2" max="2" width="14.28515625" bestFit="1" customWidth="1"/>
    <col min="5" max="5" width="10.7109375" bestFit="1" customWidth="1"/>
    <col min="6" max="6" width="14.28515625" bestFit="1" customWidth="1"/>
  </cols>
  <sheetData>
    <row r="2" spans="1:7">
      <c r="A2" s="331" t="s">
        <v>2</v>
      </c>
      <c r="B2" s="331"/>
      <c r="C2" s="331"/>
      <c r="E2" s="331" t="s">
        <v>3</v>
      </c>
      <c r="F2" s="331"/>
      <c r="G2" s="331"/>
    </row>
    <row r="3" spans="1:7" ht="21">
      <c r="A3" s="107"/>
      <c r="B3" s="174" t="s">
        <v>18</v>
      </c>
      <c r="C3" s="175" t="s">
        <v>19</v>
      </c>
      <c r="E3" s="169"/>
      <c r="F3" s="174" t="s">
        <v>18</v>
      </c>
      <c r="G3" s="175" t="s">
        <v>19</v>
      </c>
    </row>
    <row r="4" spans="1:7">
      <c r="A4" s="169" t="s">
        <v>24</v>
      </c>
      <c r="B4" s="170">
        <f>'QTR1'!O5+'QTR2'!O5+'QTR3'!O5+'QTR4'!O5</f>
        <v>852074.27999999991</v>
      </c>
      <c r="C4" s="171">
        <f>B4/$B$10</f>
        <v>0.63805653898221548</v>
      </c>
      <c r="E4" s="169" t="s">
        <v>24</v>
      </c>
      <c r="F4" s="170">
        <f>'QTR1'!O29+'QTR2'!O39+'QTR3'!O34+'QTR4'!O38</f>
        <v>2858298.59</v>
      </c>
      <c r="G4" s="171">
        <f>F4/$F$10</f>
        <v>0.7601207806268484</v>
      </c>
    </row>
    <row r="5" spans="1:7">
      <c r="A5" s="169" t="s">
        <v>25</v>
      </c>
      <c r="B5" s="170">
        <f>'QTR1'!O6+'QTR2'!O6+'QTR3'!O6+'QTR4'!O6</f>
        <v>483347</v>
      </c>
      <c r="C5" s="171">
        <f t="shared" ref="C5:C6" si="0">B5/$B$10</f>
        <v>0.36194346101778463</v>
      </c>
      <c r="E5" s="169" t="s">
        <v>25</v>
      </c>
      <c r="F5" s="170">
        <f>'QTR1'!O30+'QTR2'!O40+'QTR3'!O35+'QTR4'!O39</f>
        <v>712645.49</v>
      </c>
      <c r="G5" s="171">
        <f t="shared" ref="G5:G6" si="1">F5/$F$10</f>
        <v>0.18951716523395232</v>
      </c>
    </row>
    <row r="6" spans="1:7">
      <c r="A6" s="169" t="s">
        <v>26</v>
      </c>
      <c r="B6" s="170">
        <f>'QTR1'!O7+'QTR2'!O7+'QTR3'!O7+'QTR4'!O7</f>
        <v>0</v>
      </c>
      <c r="C6" s="171">
        <f t="shared" si="0"/>
        <v>0</v>
      </c>
      <c r="E6" s="169" t="s">
        <v>26</v>
      </c>
      <c r="F6" s="170">
        <f>'QTR1'!O31+'QTR2'!O41+'QTR3'!O36+'QTR4'!O40</f>
        <v>189377.52</v>
      </c>
      <c r="G6" s="171">
        <f t="shared" si="1"/>
        <v>5.0362054139199156E-2</v>
      </c>
    </row>
    <row r="7" spans="1:7">
      <c r="A7" s="169"/>
      <c r="B7" s="170"/>
      <c r="C7" s="171"/>
      <c r="E7" s="169"/>
      <c r="F7" s="170"/>
      <c r="G7" s="171"/>
    </row>
    <row r="8" spans="1:7">
      <c r="A8" s="169"/>
      <c r="B8" s="169"/>
      <c r="C8" s="172"/>
      <c r="E8" s="169"/>
      <c r="F8" s="169"/>
      <c r="G8" s="172"/>
    </row>
    <row r="9" spans="1:7">
      <c r="A9" s="169"/>
      <c r="B9" s="169"/>
      <c r="C9" s="172"/>
      <c r="E9" s="169"/>
      <c r="F9" s="169"/>
      <c r="G9" s="172"/>
    </row>
    <row r="10" spans="1:7">
      <c r="A10" s="169"/>
      <c r="B10" s="173">
        <f>SUM(B4:B6)</f>
        <v>1335421.2799999998</v>
      </c>
      <c r="C10" s="172"/>
      <c r="E10" s="169"/>
      <c r="F10" s="173">
        <f>SUM(F4:F6)</f>
        <v>3760321.6</v>
      </c>
      <c r="G10" s="172"/>
    </row>
    <row r="12" spans="1:7">
      <c r="B12" s="2">
        <f>Summary!C8-'Division%'!B10</f>
        <v>0</v>
      </c>
      <c r="F12" s="2">
        <f>Summary!F8-'Division%'!F10</f>
        <v>0</v>
      </c>
    </row>
    <row r="14" spans="1:7">
      <c r="F14" s="2"/>
    </row>
  </sheetData>
  <mergeCells count="2">
    <mergeCell ref="A2:C2"/>
    <mergeCell ref="E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  <pageSetUpPr fitToPage="1"/>
  </sheetPr>
  <dimension ref="A1:R99"/>
  <sheetViews>
    <sheetView zoomScale="60" zoomScaleNormal="60" workbookViewId="0">
      <selection activeCell="F8" sqref="F8"/>
    </sheetView>
  </sheetViews>
  <sheetFormatPr defaultColWidth="9.140625" defaultRowHeight="18.75"/>
  <cols>
    <col min="1" max="1" width="15.85546875" style="210" bestFit="1" customWidth="1"/>
    <col min="2" max="2" width="24" style="210" bestFit="1" customWidth="1"/>
    <col min="3" max="3" width="41" style="210" bestFit="1" customWidth="1"/>
    <col min="4" max="4" width="28.42578125" style="210" bestFit="1" customWidth="1"/>
    <col min="5" max="5" width="18.7109375" style="210" bestFit="1" customWidth="1"/>
    <col min="6" max="6" width="21.140625" style="211" bestFit="1" customWidth="1"/>
    <col min="7" max="7" width="20" style="211" bestFit="1" customWidth="1"/>
    <col min="8" max="8" width="20.140625" style="212" bestFit="1" customWidth="1"/>
    <col min="9" max="9" width="27.140625" style="211" bestFit="1" customWidth="1"/>
    <col min="10" max="10" width="10.140625" style="212" bestFit="1" customWidth="1"/>
    <col min="11" max="11" width="37.42578125" style="210" bestFit="1" customWidth="1"/>
    <col min="12" max="12" width="25" style="210" bestFit="1" customWidth="1"/>
    <col min="13" max="13" width="9.85546875" style="210" bestFit="1" customWidth="1"/>
    <col min="14" max="14" width="13.5703125" style="213" bestFit="1" customWidth="1"/>
    <col min="15" max="15" width="19.7109375" style="213" bestFit="1" customWidth="1"/>
    <col min="16" max="16" width="10" style="214" bestFit="1" customWidth="1"/>
    <col min="17" max="17" width="9.140625" style="210"/>
    <col min="18" max="18" width="62.5703125" style="210" bestFit="1" customWidth="1"/>
    <col min="19" max="16384" width="9.140625" style="210"/>
  </cols>
  <sheetData>
    <row r="1" spans="1:16">
      <c r="A1" s="209" t="s">
        <v>27</v>
      </c>
      <c r="B1" s="209"/>
    </row>
    <row r="3" spans="1:16">
      <c r="A3" s="332" t="s">
        <v>28</v>
      </c>
      <c r="B3" s="332"/>
      <c r="C3" s="332"/>
      <c r="D3" s="332"/>
      <c r="E3" s="332"/>
      <c r="F3" s="332"/>
      <c r="G3" s="332"/>
      <c r="H3" s="332"/>
      <c r="I3" s="332"/>
    </row>
    <row r="4" spans="1:16">
      <c r="A4" s="215" t="s">
        <v>29</v>
      </c>
      <c r="B4" s="215" t="s">
        <v>30</v>
      </c>
      <c r="C4" s="215" t="s">
        <v>31</v>
      </c>
      <c r="D4" s="215" t="s">
        <v>32</v>
      </c>
      <c r="E4" s="215" t="s">
        <v>33</v>
      </c>
      <c r="F4" s="216" t="s">
        <v>34</v>
      </c>
      <c r="G4" s="216" t="s">
        <v>35</v>
      </c>
      <c r="H4" s="215" t="s">
        <v>36</v>
      </c>
      <c r="I4" s="216" t="s">
        <v>37</v>
      </c>
      <c r="L4" s="210" t="s">
        <v>38</v>
      </c>
      <c r="O4" s="217" t="s">
        <v>18</v>
      </c>
      <c r="P4" s="218" t="s">
        <v>19</v>
      </c>
    </row>
    <row r="5" spans="1:16">
      <c r="A5" s="313" t="s">
        <v>39</v>
      </c>
      <c r="B5" s="219" t="s">
        <v>40</v>
      </c>
      <c r="C5" s="220" t="s">
        <v>41</v>
      </c>
      <c r="D5" s="221" t="s">
        <v>42</v>
      </c>
      <c r="E5" s="222">
        <v>45666</v>
      </c>
      <c r="F5" s="223">
        <f>61610.6+19000</f>
        <v>80610.600000000006</v>
      </c>
      <c r="G5" s="223">
        <v>30000</v>
      </c>
      <c r="H5" s="224">
        <v>10</v>
      </c>
      <c r="I5" s="223">
        <f>IFERROR(((F5-G5)/H5)/12,0)</f>
        <v>421.75500000000005</v>
      </c>
      <c r="L5" s="225" t="s">
        <v>43</v>
      </c>
      <c r="N5" s="213" t="s">
        <v>24</v>
      </c>
      <c r="O5" s="226">
        <f>SUMIF(B5:B18,"*EQUIPMENT*",F5:F18)</f>
        <v>283482.59999999998</v>
      </c>
      <c r="P5" s="227">
        <f>O5/O11</f>
        <v>0.36968134772053657</v>
      </c>
    </row>
    <row r="6" spans="1:16">
      <c r="A6" s="313" t="s">
        <v>44</v>
      </c>
      <c r="B6" s="219" t="s">
        <v>45</v>
      </c>
      <c r="C6" s="220" t="s">
        <v>46</v>
      </c>
      <c r="D6" s="221"/>
      <c r="E6" s="222">
        <v>45660</v>
      </c>
      <c r="F6" s="223">
        <f>9000*1.07</f>
        <v>9630</v>
      </c>
      <c r="G6" s="223">
        <v>0</v>
      </c>
      <c r="H6" s="224">
        <v>5</v>
      </c>
      <c r="I6" s="223">
        <f t="shared" ref="I6:I18" si="0">IFERROR(((F6-G6)/H6)/12,0)</f>
        <v>160.5</v>
      </c>
      <c r="L6" s="225">
        <v>310654</v>
      </c>
      <c r="N6" s="213" t="s">
        <v>25</v>
      </c>
      <c r="O6" s="226">
        <f>SUMIF(B5:B18,"*VEHICLE*",F5:F18)</f>
        <v>483347</v>
      </c>
      <c r="P6" s="227">
        <f>O6/O11</f>
        <v>0.63031865227946338</v>
      </c>
    </row>
    <row r="7" spans="1:16">
      <c r="A7" s="313" t="s">
        <v>47</v>
      </c>
      <c r="B7" s="219" t="s">
        <v>45</v>
      </c>
      <c r="C7" s="220" t="s">
        <v>48</v>
      </c>
      <c r="D7" s="221"/>
      <c r="E7" s="222">
        <v>45660</v>
      </c>
      <c r="F7" s="223">
        <f>3000*1.07</f>
        <v>3210</v>
      </c>
      <c r="G7" s="223">
        <v>0</v>
      </c>
      <c r="H7" s="224">
        <v>5</v>
      </c>
      <c r="I7" s="223">
        <f t="shared" si="0"/>
        <v>53.5</v>
      </c>
      <c r="L7" s="225">
        <v>310654</v>
      </c>
      <c r="N7" s="213" t="s">
        <v>26</v>
      </c>
      <c r="O7" s="226">
        <f>SUMIF(B5:B18,"*TRAILER*",F5:F18)</f>
        <v>0</v>
      </c>
      <c r="P7" s="227">
        <f>O7/O11</f>
        <v>0</v>
      </c>
    </row>
    <row r="8" spans="1:16">
      <c r="A8" s="313" t="s">
        <v>49</v>
      </c>
      <c r="B8" s="298" t="s">
        <v>50</v>
      </c>
      <c r="C8" s="220" t="s">
        <v>51</v>
      </c>
      <c r="D8" s="221" t="s">
        <v>52</v>
      </c>
      <c r="E8" s="222">
        <v>45719</v>
      </c>
      <c r="F8" s="223">
        <f>49850+2999.5+1.25+4973.16</f>
        <v>57823.91</v>
      </c>
      <c r="G8" s="223">
        <v>0</v>
      </c>
      <c r="H8" s="224">
        <v>6</v>
      </c>
      <c r="I8" s="223">
        <f t="shared" si="0"/>
        <v>803.10986111111117</v>
      </c>
      <c r="L8" s="225" t="s">
        <v>53</v>
      </c>
      <c r="O8" s="226"/>
      <c r="P8" s="227"/>
    </row>
    <row r="9" spans="1:16">
      <c r="A9" s="313" t="s">
        <v>54</v>
      </c>
      <c r="B9" s="298" t="s">
        <v>50</v>
      </c>
      <c r="C9" s="220" t="s">
        <v>55</v>
      </c>
      <c r="D9" s="221" t="s">
        <v>56</v>
      </c>
      <c r="E9" s="222">
        <v>45719</v>
      </c>
      <c r="F9" s="223">
        <f>45783+2889.81+1.25</f>
        <v>48674.06</v>
      </c>
      <c r="G9" s="223">
        <v>0</v>
      </c>
      <c r="H9" s="224">
        <v>6</v>
      </c>
      <c r="I9" s="223">
        <f t="shared" si="0"/>
        <v>676.0286111111111</v>
      </c>
      <c r="J9" s="228"/>
      <c r="L9" s="225" t="s">
        <v>53</v>
      </c>
    </row>
    <row r="10" spans="1:16">
      <c r="A10" s="313" t="s">
        <v>57</v>
      </c>
      <c r="B10" s="298" t="s">
        <v>50</v>
      </c>
      <c r="C10" s="220" t="s">
        <v>58</v>
      </c>
      <c r="D10" s="221" t="s">
        <v>59</v>
      </c>
      <c r="E10" s="222">
        <v>45721</v>
      </c>
      <c r="F10" s="223">
        <v>50110.03</v>
      </c>
      <c r="G10" s="223">
        <v>0</v>
      </c>
      <c r="H10" s="224">
        <v>6</v>
      </c>
      <c r="I10" s="223">
        <f t="shared" si="0"/>
        <v>695.97263888888892</v>
      </c>
      <c r="J10" s="228"/>
      <c r="L10" s="225">
        <v>314310</v>
      </c>
    </row>
    <row r="11" spans="1:16">
      <c r="A11" s="313" t="s">
        <v>60</v>
      </c>
      <c r="B11" s="298" t="s">
        <v>50</v>
      </c>
      <c r="C11" s="220" t="s">
        <v>61</v>
      </c>
      <c r="D11" s="221" t="s">
        <v>62</v>
      </c>
      <c r="E11" s="222">
        <v>45721</v>
      </c>
      <c r="F11" s="223">
        <v>51855.199999999997</v>
      </c>
      <c r="G11" s="223">
        <v>0</v>
      </c>
      <c r="H11" s="224">
        <v>6</v>
      </c>
      <c r="I11" s="223">
        <f t="shared" si="0"/>
        <v>720.21111111111111</v>
      </c>
      <c r="J11" s="228"/>
      <c r="L11" s="225">
        <v>314308</v>
      </c>
      <c r="O11" s="229">
        <f>SUM(O5:O7)</f>
        <v>766829.6</v>
      </c>
    </row>
    <row r="12" spans="1:16">
      <c r="A12" s="313" t="s">
        <v>63</v>
      </c>
      <c r="B12" s="298" t="s">
        <v>50</v>
      </c>
      <c r="C12" s="220" t="s">
        <v>64</v>
      </c>
      <c r="D12" s="221" t="s">
        <v>65</v>
      </c>
      <c r="E12" s="222">
        <v>45721</v>
      </c>
      <c r="F12" s="223">
        <v>51320.2</v>
      </c>
      <c r="G12" s="223">
        <v>0</v>
      </c>
      <c r="H12" s="224">
        <v>6</v>
      </c>
      <c r="I12" s="223">
        <f t="shared" si="0"/>
        <v>712.78055555555557</v>
      </c>
      <c r="J12" s="228"/>
      <c r="L12" s="225">
        <v>314307</v>
      </c>
      <c r="O12" s="226">
        <f>O11-F24</f>
        <v>0</v>
      </c>
    </row>
    <row r="13" spans="1:16">
      <c r="A13" s="313" t="s">
        <v>66</v>
      </c>
      <c r="B13" s="298" t="s">
        <v>50</v>
      </c>
      <c r="C13" s="220" t="s">
        <v>67</v>
      </c>
      <c r="D13" s="221" t="s">
        <v>68</v>
      </c>
      <c r="E13" s="222">
        <v>45721</v>
      </c>
      <c r="F13" s="223">
        <v>52518.6</v>
      </c>
      <c r="G13" s="223">
        <v>0</v>
      </c>
      <c r="H13" s="224">
        <v>6</v>
      </c>
      <c r="I13" s="223">
        <f t="shared" si="0"/>
        <v>729.42500000000007</v>
      </c>
      <c r="J13" s="228"/>
      <c r="L13" s="225">
        <v>314309</v>
      </c>
    </row>
    <row r="14" spans="1:16">
      <c r="A14" s="313" t="s">
        <v>69</v>
      </c>
      <c r="B14" s="298" t="s">
        <v>40</v>
      </c>
      <c r="C14" s="220" t="s">
        <v>70</v>
      </c>
      <c r="D14" s="221" t="s">
        <v>71</v>
      </c>
      <c r="E14" s="222">
        <v>45737</v>
      </c>
      <c r="F14" s="223">
        <v>190032</v>
      </c>
      <c r="G14" s="223">
        <v>30000</v>
      </c>
      <c r="H14" s="224">
        <v>10</v>
      </c>
      <c r="I14" s="223">
        <f t="shared" si="0"/>
        <v>1333.6000000000001</v>
      </c>
      <c r="J14" s="228"/>
      <c r="L14" s="225">
        <v>315758</v>
      </c>
    </row>
    <row r="15" spans="1:16">
      <c r="A15" s="313" t="s">
        <v>72</v>
      </c>
      <c r="B15" s="298" t="s">
        <v>50</v>
      </c>
      <c r="C15" s="220" t="s">
        <v>73</v>
      </c>
      <c r="D15" s="221" t="s">
        <v>74</v>
      </c>
      <c r="E15" s="222">
        <v>45737</v>
      </c>
      <c r="F15" s="223">
        <v>171045</v>
      </c>
      <c r="G15" s="223">
        <v>25000</v>
      </c>
      <c r="H15" s="224">
        <v>10</v>
      </c>
      <c r="I15" s="223">
        <f t="shared" si="0"/>
        <v>1217.0416666666667</v>
      </c>
      <c r="J15" s="228"/>
      <c r="L15" s="225">
        <v>315767</v>
      </c>
    </row>
    <row r="16" spans="1:16">
      <c r="A16" s="219"/>
      <c r="B16" s="298"/>
      <c r="C16" s="220"/>
      <c r="D16" s="221"/>
      <c r="E16" s="222"/>
      <c r="F16" s="223"/>
      <c r="G16" s="223"/>
      <c r="H16" s="224"/>
      <c r="I16" s="223">
        <f t="shared" si="0"/>
        <v>0</v>
      </c>
      <c r="J16" s="228"/>
      <c r="L16" s="225"/>
    </row>
    <row r="17" spans="1:16">
      <c r="A17" s="219"/>
      <c r="B17" s="298"/>
      <c r="C17" s="220"/>
      <c r="D17" s="221"/>
      <c r="E17" s="222"/>
      <c r="F17" s="223"/>
      <c r="G17" s="223"/>
      <c r="H17" s="224"/>
      <c r="I17" s="223">
        <f t="shared" si="0"/>
        <v>0</v>
      </c>
      <c r="J17" s="228"/>
      <c r="L17" s="225"/>
    </row>
    <row r="18" spans="1:16">
      <c r="A18" s="219"/>
      <c r="B18" s="298"/>
      <c r="C18" s="220"/>
      <c r="D18" s="221"/>
      <c r="E18" s="222"/>
      <c r="F18" s="223"/>
      <c r="G18" s="223"/>
      <c r="H18" s="224"/>
      <c r="I18" s="223">
        <f t="shared" si="0"/>
        <v>0</v>
      </c>
      <c r="J18" s="228"/>
      <c r="L18" s="225"/>
    </row>
    <row r="19" spans="1:16">
      <c r="A19" s="314" t="s">
        <v>75</v>
      </c>
      <c r="B19" s="230" t="s">
        <v>76</v>
      </c>
      <c r="C19" s="231" t="s">
        <v>77</v>
      </c>
      <c r="D19" s="232"/>
      <c r="E19" s="233">
        <v>45672</v>
      </c>
      <c r="F19" s="234">
        <v>55076.66</v>
      </c>
      <c r="G19" s="234">
        <v>0</v>
      </c>
      <c r="H19" s="235">
        <v>5</v>
      </c>
      <c r="I19" s="234">
        <f>IFERROR(((F19-G19)/H19)/12,0)</f>
        <v>917.94433333333336</v>
      </c>
      <c r="J19" s="228"/>
      <c r="L19" s="225">
        <v>310910</v>
      </c>
    </row>
    <row r="20" spans="1:16">
      <c r="A20" s="230"/>
      <c r="B20" s="230"/>
      <c r="C20" s="231"/>
      <c r="D20" s="232"/>
      <c r="E20" s="233"/>
      <c r="F20" s="234"/>
      <c r="G20" s="234"/>
      <c r="H20" s="235"/>
      <c r="I20" s="234">
        <f t="shared" ref="I20:I22" si="1">IFERROR(((F20-G20)/H20)/12,0)</f>
        <v>0</v>
      </c>
      <c r="J20" s="228"/>
      <c r="L20" s="225"/>
    </row>
    <row r="21" spans="1:16">
      <c r="A21" s="230"/>
      <c r="B21" s="230"/>
      <c r="C21" s="231"/>
      <c r="D21" s="232"/>
      <c r="E21" s="233"/>
      <c r="F21" s="234"/>
      <c r="G21" s="234"/>
      <c r="H21" s="235"/>
      <c r="I21" s="234">
        <f t="shared" si="1"/>
        <v>0</v>
      </c>
      <c r="J21" s="228"/>
      <c r="L21" s="225"/>
    </row>
    <row r="22" spans="1:16">
      <c r="A22" s="236"/>
      <c r="B22" s="236"/>
      <c r="C22" s="236"/>
      <c r="D22" s="236"/>
      <c r="E22" s="233"/>
      <c r="F22" s="234"/>
      <c r="G22" s="234"/>
      <c r="H22" s="235"/>
      <c r="I22" s="234">
        <f t="shared" si="1"/>
        <v>0</v>
      </c>
    </row>
    <row r="23" spans="1:16">
      <c r="E23" s="210" t="s">
        <v>78</v>
      </c>
      <c r="F23" s="237">
        <f>SUM(F19:F22)</f>
        <v>55076.66</v>
      </c>
      <c r="H23" s="212" t="s">
        <v>79</v>
      </c>
      <c r="I23" s="211">
        <f>SUM(I5:I22)</f>
        <v>8441.8687777777777</v>
      </c>
    </row>
    <row r="24" spans="1:16">
      <c r="E24" s="210" t="s">
        <v>24</v>
      </c>
      <c r="F24" s="211">
        <f>SUM(F5:F18)</f>
        <v>766829.6</v>
      </c>
      <c r="H24" s="212" t="s">
        <v>80</v>
      </c>
      <c r="I24" s="211">
        <f>I23*12</f>
        <v>101302.42533333333</v>
      </c>
    </row>
    <row r="25" spans="1:16">
      <c r="E25" s="210" t="s">
        <v>81</v>
      </c>
      <c r="F25" s="238">
        <f>SUM(F23:F24)</f>
        <v>821906.26</v>
      </c>
    </row>
    <row r="27" spans="1:16">
      <c r="A27" s="332" t="s">
        <v>82</v>
      </c>
      <c r="B27" s="332"/>
      <c r="C27" s="332"/>
      <c r="D27" s="332"/>
      <c r="E27" s="332"/>
      <c r="F27" s="332"/>
      <c r="G27" s="332"/>
      <c r="H27" s="332"/>
      <c r="I27" s="332"/>
    </row>
    <row r="28" spans="1:16">
      <c r="A28" s="212" t="s">
        <v>29</v>
      </c>
      <c r="B28" s="215" t="s">
        <v>30</v>
      </c>
      <c r="C28" s="212" t="s">
        <v>31</v>
      </c>
      <c r="D28" s="212" t="s">
        <v>32</v>
      </c>
      <c r="E28" s="212" t="s">
        <v>33</v>
      </c>
      <c r="F28" s="239" t="s">
        <v>34</v>
      </c>
      <c r="G28" s="239" t="s">
        <v>35</v>
      </c>
      <c r="H28" s="212" t="s">
        <v>36</v>
      </c>
      <c r="I28" s="239" t="s">
        <v>37</v>
      </c>
      <c r="J28" s="212" t="s">
        <v>83</v>
      </c>
      <c r="L28" s="210" t="s">
        <v>38</v>
      </c>
      <c r="O28" s="217" t="s">
        <v>18</v>
      </c>
      <c r="P28" s="218" t="s">
        <v>19</v>
      </c>
    </row>
    <row r="29" spans="1:16">
      <c r="A29" s="297" t="s">
        <v>84</v>
      </c>
      <c r="B29" s="298" t="s">
        <v>50</v>
      </c>
      <c r="C29" s="219" t="s">
        <v>85</v>
      </c>
      <c r="D29" s="240" t="s">
        <v>86</v>
      </c>
      <c r="E29" s="241">
        <v>45674</v>
      </c>
      <c r="F29" s="242">
        <v>195832.62</v>
      </c>
      <c r="G29" s="242">
        <v>50000</v>
      </c>
      <c r="H29" s="243">
        <v>10</v>
      </c>
      <c r="I29" s="223">
        <f t="shared" ref="I29:I41" si="2">IFERROR(((F29-G29)/H29)/12,0)</f>
        <v>1215.2718333333332</v>
      </c>
      <c r="J29" s="224">
        <v>2</v>
      </c>
      <c r="L29" s="244" t="s">
        <v>87</v>
      </c>
      <c r="N29" s="213" t="s">
        <v>24</v>
      </c>
      <c r="O29" s="226">
        <f>SUMIF(B29:B58,"*EQUIPMENT*",F29:F58)</f>
        <v>1732329.1099999999</v>
      </c>
      <c r="P29" s="227">
        <f>O29/O35</f>
        <v>0.65759208757559717</v>
      </c>
    </row>
    <row r="30" spans="1:16">
      <c r="A30" s="297" t="s">
        <v>88</v>
      </c>
      <c r="B30" s="219" t="s">
        <v>89</v>
      </c>
      <c r="C30" s="219" t="s">
        <v>90</v>
      </c>
      <c r="D30" s="245" t="s">
        <v>91</v>
      </c>
      <c r="E30" s="241">
        <v>45684</v>
      </c>
      <c r="F30" s="242">
        <v>47344.38</v>
      </c>
      <c r="G30" s="242">
        <v>7000</v>
      </c>
      <c r="H30" s="243">
        <v>7</v>
      </c>
      <c r="I30" s="223">
        <f t="shared" si="2"/>
        <v>480.29023809523807</v>
      </c>
      <c r="J30" s="224">
        <v>2</v>
      </c>
      <c r="L30" s="244">
        <v>311006</v>
      </c>
      <c r="N30" s="213" t="s">
        <v>25</v>
      </c>
      <c r="O30" s="226">
        <f>SUMIF(B29:B58,"*VEHICLE*",F29:F58)</f>
        <v>712645.49</v>
      </c>
      <c r="P30" s="227">
        <f>O30/O35</f>
        <v>0.27052021048727537</v>
      </c>
    </row>
    <row r="31" spans="1:16">
      <c r="A31" s="297" t="s">
        <v>92</v>
      </c>
      <c r="B31" s="219" t="s">
        <v>89</v>
      </c>
      <c r="C31" s="219" t="s">
        <v>93</v>
      </c>
      <c r="D31" s="245" t="s">
        <v>94</v>
      </c>
      <c r="E31" s="241">
        <v>45684</v>
      </c>
      <c r="F31" s="242">
        <v>47344.38</v>
      </c>
      <c r="G31" s="242">
        <v>7000</v>
      </c>
      <c r="H31" s="243">
        <v>7</v>
      </c>
      <c r="I31" s="223">
        <f t="shared" si="2"/>
        <v>480.29023809523807</v>
      </c>
      <c r="J31" s="224">
        <v>2</v>
      </c>
      <c r="L31" s="244">
        <v>311006</v>
      </c>
      <c r="N31" s="213" t="s">
        <v>26</v>
      </c>
      <c r="O31" s="226">
        <f>SUMIF(B29:B58,"*TRAILER*",F29:F58)</f>
        <v>189377.52</v>
      </c>
      <c r="P31" s="227">
        <f>O31/O35</f>
        <v>7.1887701937127527E-2</v>
      </c>
    </row>
    <row r="32" spans="1:16">
      <c r="A32" s="297" t="s">
        <v>95</v>
      </c>
      <c r="B32" s="219" t="s">
        <v>89</v>
      </c>
      <c r="C32" s="219" t="s">
        <v>96</v>
      </c>
      <c r="D32" s="245" t="s">
        <v>97</v>
      </c>
      <c r="E32" s="241">
        <v>45684</v>
      </c>
      <c r="F32" s="242">
        <v>47344.38</v>
      </c>
      <c r="G32" s="242">
        <v>7000</v>
      </c>
      <c r="H32" s="243">
        <v>7</v>
      </c>
      <c r="I32" s="223">
        <f t="shared" si="2"/>
        <v>480.29023809523807</v>
      </c>
      <c r="J32" s="224">
        <v>2</v>
      </c>
      <c r="L32" s="244">
        <v>311006</v>
      </c>
      <c r="O32" s="226"/>
      <c r="P32" s="227"/>
    </row>
    <row r="33" spans="1:18">
      <c r="A33" s="297" t="s">
        <v>98</v>
      </c>
      <c r="B33" s="219" t="s">
        <v>89</v>
      </c>
      <c r="C33" s="219" t="s">
        <v>99</v>
      </c>
      <c r="D33" s="245" t="s">
        <v>100</v>
      </c>
      <c r="E33" s="241">
        <v>45684</v>
      </c>
      <c r="F33" s="242">
        <v>47344.38</v>
      </c>
      <c r="G33" s="242">
        <v>7000</v>
      </c>
      <c r="H33" s="243">
        <v>7</v>
      </c>
      <c r="I33" s="223">
        <f t="shared" si="2"/>
        <v>480.29023809523807</v>
      </c>
      <c r="J33" s="224">
        <v>2</v>
      </c>
      <c r="L33" s="244">
        <v>311006</v>
      </c>
      <c r="O33" s="226"/>
      <c r="P33" s="227"/>
    </row>
    <row r="34" spans="1:18">
      <c r="A34" s="297" t="s">
        <v>101</v>
      </c>
      <c r="B34" s="298" t="s">
        <v>50</v>
      </c>
      <c r="C34" s="219" t="s">
        <v>102</v>
      </c>
      <c r="D34" s="246" t="s">
        <v>103</v>
      </c>
      <c r="E34" s="241">
        <v>45733</v>
      </c>
      <c r="F34" s="242">
        <f>6000+93860.63</f>
        <v>99860.63</v>
      </c>
      <c r="G34" s="242">
        <v>15000</v>
      </c>
      <c r="H34" s="243">
        <v>7</v>
      </c>
      <c r="I34" s="223">
        <f t="shared" si="2"/>
        <v>1010.2455952380952</v>
      </c>
      <c r="J34" s="224">
        <v>2</v>
      </c>
      <c r="L34" s="244" t="s">
        <v>104</v>
      </c>
    </row>
    <row r="35" spans="1:18">
      <c r="A35" s="297" t="s">
        <v>105</v>
      </c>
      <c r="B35" s="298" t="s">
        <v>50</v>
      </c>
      <c r="C35" s="219" t="s">
        <v>106</v>
      </c>
      <c r="D35" s="246" t="s">
        <v>107</v>
      </c>
      <c r="E35" s="241">
        <v>45686</v>
      </c>
      <c r="F35" s="242">
        <v>57872.76</v>
      </c>
      <c r="G35" s="242">
        <v>0</v>
      </c>
      <c r="H35" s="243">
        <v>6</v>
      </c>
      <c r="I35" s="223">
        <f t="shared" si="2"/>
        <v>803.78833333333341</v>
      </c>
      <c r="J35" s="224">
        <v>2</v>
      </c>
      <c r="L35" s="244">
        <v>311790</v>
      </c>
      <c r="O35" s="247">
        <f>SUM(O29:O31)</f>
        <v>2634352.1199999996</v>
      </c>
    </row>
    <row r="36" spans="1:18">
      <c r="A36" s="297" t="s">
        <v>108</v>
      </c>
      <c r="B36" s="298" t="s">
        <v>50</v>
      </c>
      <c r="C36" s="219" t="s">
        <v>109</v>
      </c>
      <c r="D36" s="220" t="s">
        <v>110</v>
      </c>
      <c r="E36" s="241">
        <v>45681</v>
      </c>
      <c r="F36" s="242">
        <v>57872.76</v>
      </c>
      <c r="G36" s="242">
        <v>0</v>
      </c>
      <c r="H36" s="243">
        <v>6</v>
      </c>
      <c r="I36" s="223">
        <f t="shared" si="2"/>
        <v>803.78833333333341</v>
      </c>
      <c r="J36" s="224">
        <v>2</v>
      </c>
      <c r="L36" s="244">
        <v>311753</v>
      </c>
      <c r="O36" s="248">
        <f>O35-F64</f>
        <v>0</v>
      </c>
    </row>
    <row r="37" spans="1:18">
      <c r="A37" s="297" t="s">
        <v>111</v>
      </c>
      <c r="B37" s="298" t="s">
        <v>50</v>
      </c>
      <c r="C37" s="219" t="s">
        <v>112</v>
      </c>
      <c r="D37" s="220" t="s">
        <v>113</v>
      </c>
      <c r="E37" s="241">
        <v>45693</v>
      </c>
      <c r="F37" s="242">
        <f>67926.68+7000</f>
        <v>74926.679999999993</v>
      </c>
      <c r="G37" s="242">
        <v>20000</v>
      </c>
      <c r="H37" s="243">
        <v>10</v>
      </c>
      <c r="I37" s="223">
        <f t="shared" si="2"/>
        <v>457.72233333333332</v>
      </c>
      <c r="J37" s="224">
        <v>2</v>
      </c>
      <c r="L37" s="244" t="s">
        <v>114</v>
      </c>
      <c r="O37" s="248"/>
      <c r="R37" s="210" t="s">
        <v>115</v>
      </c>
    </row>
    <row r="38" spans="1:18">
      <c r="A38" s="297" t="s">
        <v>116</v>
      </c>
      <c r="B38" s="298" t="s">
        <v>50</v>
      </c>
      <c r="C38" s="219" t="s">
        <v>117</v>
      </c>
      <c r="D38" s="220" t="s">
        <v>118</v>
      </c>
      <c r="E38" s="241">
        <v>45693</v>
      </c>
      <c r="F38" s="242">
        <f>67926.68+7750</f>
        <v>75676.679999999993</v>
      </c>
      <c r="G38" s="242">
        <v>20000</v>
      </c>
      <c r="H38" s="243">
        <v>10</v>
      </c>
      <c r="I38" s="223">
        <f t="shared" si="2"/>
        <v>463.97233333333332</v>
      </c>
      <c r="J38" s="224">
        <v>2</v>
      </c>
      <c r="L38" s="244" t="s">
        <v>119</v>
      </c>
      <c r="O38" s="248"/>
      <c r="R38" s="210" t="s">
        <v>120</v>
      </c>
    </row>
    <row r="39" spans="1:18">
      <c r="A39" s="297" t="s">
        <v>121</v>
      </c>
      <c r="B39" s="298" t="s">
        <v>50</v>
      </c>
      <c r="C39" s="219" t="s">
        <v>122</v>
      </c>
      <c r="D39" s="220" t="s">
        <v>123</v>
      </c>
      <c r="E39" s="241">
        <v>45693</v>
      </c>
      <c r="F39" s="242">
        <f>67926.68+7750</f>
        <v>75676.679999999993</v>
      </c>
      <c r="G39" s="242">
        <v>20000</v>
      </c>
      <c r="H39" s="243">
        <v>10</v>
      </c>
      <c r="I39" s="223">
        <f t="shared" si="2"/>
        <v>463.97233333333332</v>
      </c>
      <c r="J39" s="224">
        <v>2</v>
      </c>
      <c r="L39" s="244" t="s">
        <v>124</v>
      </c>
      <c r="O39" s="248"/>
      <c r="R39" s="210" t="s">
        <v>120</v>
      </c>
    </row>
    <row r="40" spans="1:18">
      <c r="A40" s="297" t="s">
        <v>125</v>
      </c>
      <c r="B40" s="298" t="s">
        <v>50</v>
      </c>
      <c r="C40" s="219" t="s">
        <v>126</v>
      </c>
      <c r="D40" s="220" t="s">
        <v>127</v>
      </c>
      <c r="E40" s="241">
        <v>45693</v>
      </c>
      <c r="F40" s="242">
        <f>67926.68+7000</f>
        <v>74926.679999999993</v>
      </c>
      <c r="G40" s="242">
        <v>20000</v>
      </c>
      <c r="H40" s="243">
        <v>10</v>
      </c>
      <c r="I40" s="223">
        <f t="shared" si="2"/>
        <v>457.72233333333332</v>
      </c>
      <c r="J40" s="224">
        <v>2</v>
      </c>
      <c r="L40" s="244" t="s">
        <v>128</v>
      </c>
      <c r="O40" s="248"/>
      <c r="R40" s="210" t="s">
        <v>115</v>
      </c>
    </row>
    <row r="41" spans="1:18">
      <c r="A41" s="297" t="s">
        <v>129</v>
      </c>
      <c r="B41" s="219" t="s">
        <v>40</v>
      </c>
      <c r="C41" s="219" t="s">
        <v>130</v>
      </c>
      <c r="D41" s="220" t="s">
        <v>131</v>
      </c>
      <c r="E41" s="241">
        <v>45729</v>
      </c>
      <c r="F41" s="242">
        <v>380082.98</v>
      </c>
      <c r="G41" s="242">
        <v>50000</v>
      </c>
      <c r="H41" s="243">
        <v>10</v>
      </c>
      <c r="I41" s="223">
        <f t="shared" si="2"/>
        <v>2750.6914999999995</v>
      </c>
      <c r="J41" s="224">
        <v>2</v>
      </c>
      <c r="K41" s="250"/>
      <c r="L41" s="225">
        <v>5393</v>
      </c>
      <c r="O41" s="248"/>
    </row>
    <row r="42" spans="1:18">
      <c r="A42" s="297" t="s">
        <v>132</v>
      </c>
      <c r="B42" s="219" t="s">
        <v>40</v>
      </c>
      <c r="C42" s="219" t="s">
        <v>133</v>
      </c>
      <c r="D42" s="220" t="s">
        <v>134</v>
      </c>
      <c r="E42" s="241">
        <v>45727</v>
      </c>
      <c r="F42" s="242">
        <v>364268.3</v>
      </c>
      <c r="G42" s="242">
        <v>50000</v>
      </c>
      <c r="H42" s="243">
        <v>10</v>
      </c>
      <c r="I42" s="223">
        <f t="shared" ref="I42:I61" si="3">IFERROR(((F42-G42)/H42)/12,0)</f>
        <v>2618.9024999999997</v>
      </c>
      <c r="J42" s="224">
        <v>2</v>
      </c>
      <c r="K42" s="250"/>
      <c r="L42" s="225">
        <v>5393</v>
      </c>
      <c r="O42" s="248"/>
    </row>
    <row r="43" spans="1:18">
      <c r="A43" s="297" t="s">
        <v>135</v>
      </c>
      <c r="B43" s="219" t="s">
        <v>40</v>
      </c>
      <c r="C43" s="219" t="s">
        <v>136</v>
      </c>
      <c r="D43" s="220" t="s">
        <v>137</v>
      </c>
      <c r="E43" s="241">
        <v>45733</v>
      </c>
      <c r="F43" s="242">
        <f>4100+212000</f>
        <v>216100</v>
      </c>
      <c r="G43" s="242">
        <v>35000</v>
      </c>
      <c r="H43" s="243">
        <v>10</v>
      </c>
      <c r="I43" s="223">
        <f t="shared" si="3"/>
        <v>1509.1666666666667</v>
      </c>
      <c r="J43" s="224">
        <v>2</v>
      </c>
      <c r="K43" s="250"/>
      <c r="L43" s="225" t="s">
        <v>138</v>
      </c>
      <c r="O43" s="248"/>
    </row>
    <row r="44" spans="1:18">
      <c r="A44" s="297" t="s">
        <v>139</v>
      </c>
      <c r="B44" s="219" t="s">
        <v>40</v>
      </c>
      <c r="C44" s="219" t="s">
        <v>140</v>
      </c>
      <c r="D44" s="220" t="s">
        <v>141</v>
      </c>
      <c r="E44" s="241">
        <v>45733</v>
      </c>
      <c r="F44" s="242">
        <f>3600+180200</f>
        <v>183800</v>
      </c>
      <c r="G44" s="242">
        <v>30000</v>
      </c>
      <c r="H44" s="243">
        <v>10</v>
      </c>
      <c r="I44" s="223">
        <f t="shared" si="3"/>
        <v>1281.6666666666667</v>
      </c>
      <c r="J44" s="224">
        <v>2</v>
      </c>
      <c r="K44" s="250"/>
      <c r="L44" s="225" t="s">
        <v>142</v>
      </c>
      <c r="O44" s="248"/>
    </row>
    <row r="45" spans="1:18">
      <c r="A45" s="297" t="s">
        <v>143</v>
      </c>
      <c r="B45" s="219" t="s">
        <v>40</v>
      </c>
      <c r="C45" s="219" t="s">
        <v>144</v>
      </c>
      <c r="D45" s="219" t="s">
        <v>145</v>
      </c>
      <c r="E45" s="241">
        <v>45733</v>
      </c>
      <c r="F45" s="242">
        <f>3600+159000</f>
        <v>162600</v>
      </c>
      <c r="G45" s="242">
        <v>30000</v>
      </c>
      <c r="H45" s="243">
        <v>10</v>
      </c>
      <c r="I45" s="223">
        <f t="shared" si="3"/>
        <v>1105</v>
      </c>
      <c r="J45" s="224">
        <v>2</v>
      </c>
      <c r="K45" s="250"/>
      <c r="L45" s="225" t="s">
        <v>146</v>
      </c>
      <c r="O45" s="248"/>
    </row>
    <row r="46" spans="1:18">
      <c r="A46" s="297" t="s">
        <v>147</v>
      </c>
      <c r="B46" s="219" t="s">
        <v>40</v>
      </c>
      <c r="C46" s="219" t="s">
        <v>148</v>
      </c>
      <c r="D46" s="219" t="s">
        <v>149</v>
      </c>
      <c r="E46" s="241">
        <v>45706</v>
      </c>
      <c r="F46" s="242">
        <v>30240.75</v>
      </c>
      <c r="G46" s="242">
        <v>4500</v>
      </c>
      <c r="H46" s="243">
        <v>7</v>
      </c>
      <c r="I46" s="223">
        <f t="shared" si="3"/>
        <v>306.4375</v>
      </c>
      <c r="J46" s="224">
        <v>4</v>
      </c>
      <c r="K46" s="250"/>
      <c r="L46" s="225">
        <v>312947</v>
      </c>
      <c r="O46" s="248"/>
    </row>
    <row r="47" spans="1:18">
      <c r="A47" s="297" t="s">
        <v>150</v>
      </c>
      <c r="B47" s="219" t="s">
        <v>40</v>
      </c>
      <c r="C47" s="219" t="s">
        <v>151</v>
      </c>
      <c r="D47" s="219" t="s">
        <v>152</v>
      </c>
      <c r="E47" s="241">
        <v>45709</v>
      </c>
      <c r="F47" s="242">
        <v>91825.98</v>
      </c>
      <c r="G47" s="242">
        <v>15000</v>
      </c>
      <c r="H47" s="243">
        <v>7</v>
      </c>
      <c r="I47" s="223">
        <f t="shared" si="3"/>
        <v>914.59499999999991</v>
      </c>
      <c r="J47" s="224">
        <v>2</v>
      </c>
      <c r="L47" s="225">
        <v>5359</v>
      </c>
      <c r="O47" s="248"/>
    </row>
    <row r="48" spans="1:18">
      <c r="A48" s="297" t="s">
        <v>153</v>
      </c>
      <c r="B48" s="219" t="s">
        <v>40</v>
      </c>
      <c r="C48" s="219" t="s">
        <v>154</v>
      </c>
      <c r="D48" s="219" t="s">
        <v>155</v>
      </c>
      <c r="E48" s="241">
        <v>45709</v>
      </c>
      <c r="F48" s="242">
        <v>91825.98</v>
      </c>
      <c r="G48" s="242">
        <v>15000</v>
      </c>
      <c r="H48" s="243">
        <v>7</v>
      </c>
      <c r="I48" s="223">
        <f t="shared" si="3"/>
        <v>914.59499999999991</v>
      </c>
      <c r="J48" s="224">
        <v>2</v>
      </c>
      <c r="L48" s="225">
        <v>5359</v>
      </c>
    </row>
    <row r="49" spans="1:12">
      <c r="A49" s="297" t="s">
        <v>156</v>
      </c>
      <c r="B49" s="219" t="s">
        <v>40</v>
      </c>
      <c r="C49" s="219" t="s">
        <v>157</v>
      </c>
      <c r="D49" s="219" t="s">
        <v>158</v>
      </c>
      <c r="E49" s="241">
        <v>45709</v>
      </c>
      <c r="F49" s="242">
        <v>91825.98</v>
      </c>
      <c r="G49" s="242">
        <v>15000</v>
      </c>
      <c r="H49" s="243">
        <v>7</v>
      </c>
      <c r="I49" s="223">
        <f t="shared" si="3"/>
        <v>914.59499999999991</v>
      </c>
      <c r="J49" s="224">
        <v>2</v>
      </c>
      <c r="L49" s="225">
        <v>5359</v>
      </c>
    </row>
    <row r="50" spans="1:12">
      <c r="A50" s="297" t="s">
        <v>159</v>
      </c>
      <c r="B50" s="219" t="s">
        <v>40</v>
      </c>
      <c r="C50" s="219" t="s">
        <v>160</v>
      </c>
      <c r="D50" s="219" t="s">
        <v>161</v>
      </c>
      <c r="E50" s="241">
        <v>45733</v>
      </c>
      <c r="F50" s="242">
        <v>119759.14</v>
      </c>
      <c r="G50" s="242">
        <v>18000</v>
      </c>
      <c r="H50" s="243">
        <v>7</v>
      </c>
      <c r="I50" s="223">
        <f t="shared" si="3"/>
        <v>1211.4183333333333</v>
      </c>
      <c r="J50" s="224">
        <v>2</v>
      </c>
      <c r="L50" s="225">
        <v>313672</v>
      </c>
    </row>
    <row r="51" spans="1:12">
      <c r="A51" s="219"/>
      <c r="B51" s="219"/>
      <c r="C51" s="219"/>
      <c r="D51" s="219"/>
      <c r="E51" s="241"/>
      <c r="F51" s="249"/>
      <c r="G51" s="242"/>
      <c r="H51" s="243"/>
      <c r="I51" s="223"/>
      <c r="J51" s="224"/>
      <c r="K51" s="277"/>
      <c r="L51" s="225"/>
    </row>
    <row r="52" spans="1:12">
      <c r="A52" s="219"/>
      <c r="B52" s="219"/>
      <c r="C52" s="219"/>
      <c r="D52" s="219"/>
      <c r="E52" s="241"/>
      <c r="F52" s="249"/>
      <c r="G52" s="242"/>
      <c r="H52" s="243"/>
      <c r="I52" s="223">
        <f t="shared" si="3"/>
        <v>0</v>
      </c>
      <c r="J52" s="224"/>
      <c r="L52" s="225"/>
    </row>
    <row r="53" spans="1:12">
      <c r="A53" s="219"/>
      <c r="B53" s="219"/>
      <c r="C53" s="219"/>
      <c r="D53" s="219"/>
      <c r="E53" s="241"/>
      <c r="F53" s="249"/>
      <c r="G53" s="242"/>
      <c r="H53" s="243"/>
      <c r="I53" s="223">
        <f t="shared" si="3"/>
        <v>0</v>
      </c>
      <c r="J53" s="224"/>
      <c r="L53" s="225"/>
    </row>
    <row r="54" spans="1:12">
      <c r="A54" s="219"/>
      <c r="B54" s="219"/>
      <c r="C54" s="219"/>
      <c r="D54" s="219"/>
      <c r="E54" s="241"/>
      <c r="F54" s="249"/>
      <c r="G54" s="242"/>
      <c r="H54" s="243"/>
      <c r="I54" s="223">
        <f t="shared" si="3"/>
        <v>0</v>
      </c>
      <c r="J54" s="224"/>
      <c r="L54" s="225"/>
    </row>
    <row r="55" spans="1:12">
      <c r="A55" s="219"/>
      <c r="B55" s="219"/>
      <c r="C55" s="219"/>
      <c r="D55" s="219"/>
      <c r="E55" s="241"/>
      <c r="F55" s="249"/>
      <c r="G55" s="242"/>
      <c r="H55" s="243"/>
      <c r="I55" s="223">
        <f t="shared" si="3"/>
        <v>0</v>
      </c>
      <c r="J55" s="224"/>
      <c r="L55" s="225"/>
    </row>
    <row r="56" spans="1:12">
      <c r="A56" s="219"/>
      <c r="B56" s="219"/>
      <c r="C56" s="219"/>
      <c r="D56" s="219"/>
      <c r="E56" s="241"/>
      <c r="F56" s="249"/>
      <c r="G56" s="242"/>
      <c r="H56" s="243"/>
      <c r="I56" s="223">
        <f t="shared" si="3"/>
        <v>0</v>
      </c>
      <c r="J56" s="224"/>
      <c r="L56" s="225"/>
    </row>
    <row r="57" spans="1:12">
      <c r="A57" s="219"/>
      <c r="B57" s="219"/>
      <c r="C57" s="219"/>
      <c r="D57" s="219"/>
      <c r="E57" s="241"/>
      <c r="F57" s="249"/>
      <c r="G57" s="242"/>
      <c r="H57" s="243"/>
      <c r="I57" s="223">
        <f t="shared" si="3"/>
        <v>0</v>
      </c>
      <c r="J57" s="224"/>
      <c r="L57" s="225"/>
    </row>
    <row r="58" spans="1:12">
      <c r="A58" s="219"/>
      <c r="B58" s="219"/>
      <c r="C58" s="219"/>
      <c r="D58" s="219"/>
      <c r="E58" s="241"/>
      <c r="F58" s="249"/>
      <c r="G58" s="242"/>
      <c r="H58" s="243"/>
      <c r="I58" s="223">
        <f t="shared" si="3"/>
        <v>0</v>
      </c>
      <c r="J58" s="224"/>
      <c r="L58" s="225"/>
    </row>
    <row r="59" spans="1:12">
      <c r="A59" s="230"/>
      <c r="B59" s="230"/>
      <c r="C59" s="230"/>
      <c r="D59" s="230"/>
      <c r="E59" s="251"/>
      <c r="F59" s="252"/>
      <c r="G59" s="252"/>
      <c r="H59" s="253"/>
      <c r="I59" s="234">
        <f t="shared" si="3"/>
        <v>0</v>
      </c>
      <c r="J59" s="253"/>
    </row>
    <row r="60" spans="1:12">
      <c r="A60" s="230"/>
      <c r="B60" s="230"/>
      <c r="C60" s="230"/>
      <c r="D60" s="230"/>
      <c r="E60" s="251"/>
      <c r="F60" s="252"/>
      <c r="G60" s="252"/>
      <c r="H60" s="253"/>
      <c r="I60" s="234">
        <f t="shared" si="3"/>
        <v>0</v>
      </c>
      <c r="J60" s="253"/>
    </row>
    <row r="61" spans="1:12">
      <c r="A61" s="230"/>
      <c r="B61" s="230"/>
      <c r="C61" s="230"/>
      <c r="D61" s="230"/>
      <c r="E61" s="251"/>
      <c r="F61" s="252"/>
      <c r="G61" s="252"/>
      <c r="H61" s="253"/>
      <c r="I61" s="234">
        <f t="shared" si="3"/>
        <v>0</v>
      </c>
      <c r="J61" s="253"/>
    </row>
    <row r="62" spans="1:12">
      <c r="A62" s="254"/>
      <c r="B62" s="254"/>
      <c r="C62" s="254"/>
      <c r="D62" s="255"/>
      <c r="E62" s="256"/>
      <c r="F62" s="257"/>
      <c r="G62" s="257"/>
      <c r="H62" s="258"/>
      <c r="I62" s="257"/>
      <c r="J62" s="258"/>
      <c r="K62" s="250">
        <f>SUM(K41:K45)</f>
        <v>0</v>
      </c>
    </row>
    <row r="63" spans="1:12">
      <c r="E63" s="210" t="s">
        <v>162</v>
      </c>
      <c r="F63" s="237">
        <f>SUM(F59:F62)</f>
        <v>0</v>
      </c>
      <c r="H63" s="212" t="s">
        <v>79</v>
      </c>
      <c r="I63" s="211">
        <f>SUM(I29:I59)</f>
        <v>21124.712547619049</v>
      </c>
    </row>
    <row r="64" spans="1:12">
      <c r="E64" s="210" t="s">
        <v>24</v>
      </c>
      <c r="F64" s="211">
        <f>SUM(F29:F58)</f>
        <v>2634352.12</v>
      </c>
      <c r="H64" s="212" t="s">
        <v>80</v>
      </c>
      <c r="I64" s="211">
        <f>I63*12</f>
        <v>253496.55057142858</v>
      </c>
    </row>
    <row r="65" spans="1:16">
      <c r="A65" s="315"/>
      <c r="E65" s="210" t="s">
        <v>81</v>
      </c>
      <c r="F65" s="238">
        <f>SUM(F63:F64)</f>
        <v>2634352.12</v>
      </c>
    </row>
    <row r="67" spans="1:16">
      <c r="F67" s="211">
        <f>SUM(K41:K45)</f>
        <v>0</v>
      </c>
    </row>
    <row r="68" spans="1:16">
      <c r="O68" s="217" t="s">
        <v>18</v>
      </c>
      <c r="P68" s="218" t="s">
        <v>19</v>
      </c>
    </row>
    <row r="69" spans="1:16">
      <c r="F69" s="211">
        <f>F65+F67</f>
        <v>2634352.12</v>
      </c>
      <c r="H69" s="260" t="s">
        <v>163</v>
      </c>
      <c r="I69" s="211">
        <f>I64+I24</f>
        <v>354798.97590476193</v>
      </c>
      <c r="N69" s="213" t="s">
        <v>24</v>
      </c>
      <c r="O69" s="226">
        <f>O5+O29</f>
        <v>2015811.71</v>
      </c>
      <c r="P69" s="227">
        <f>O69/O72</f>
        <v>0.592679802477593</v>
      </c>
    </row>
    <row r="70" spans="1:16">
      <c r="N70" s="213" t="s">
        <v>25</v>
      </c>
      <c r="O70" s="226">
        <f>O6+O30</f>
        <v>1195992.49</v>
      </c>
      <c r="P70" s="227">
        <f>O70/O72</f>
        <v>0.35164027930856923</v>
      </c>
    </row>
    <row r="71" spans="1:16">
      <c r="N71" s="213" t="s">
        <v>26</v>
      </c>
      <c r="O71" s="226">
        <f>O7+O31</f>
        <v>189377.52</v>
      </c>
      <c r="P71" s="227">
        <f>O71/O72</f>
        <v>5.5679918213837741E-2</v>
      </c>
    </row>
    <row r="72" spans="1:16">
      <c r="O72" s="259">
        <f>SUM(O69:O71)</f>
        <v>3401181.72</v>
      </c>
    </row>
    <row r="83" spans="1:16" s="265" customFormat="1" ht="37.5" hidden="1">
      <c r="A83" s="261" t="s">
        <v>29</v>
      </c>
      <c r="B83" s="261"/>
      <c r="C83" s="261" t="s">
        <v>31</v>
      </c>
      <c r="D83" s="261" t="s">
        <v>32</v>
      </c>
      <c r="E83" s="261" t="s">
        <v>33</v>
      </c>
      <c r="F83" s="262" t="s">
        <v>164</v>
      </c>
      <c r="G83" s="262" t="s">
        <v>165</v>
      </c>
      <c r="H83" s="261" t="s">
        <v>166</v>
      </c>
      <c r="I83" s="263"/>
      <c r="J83" s="264"/>
      <c r="N83" s="266"/>
      <c r="O83" s="266"/>
      <c r="P83" s="267"/>
    </row>
    <row r="84" spans="1:16" hidden="1">
      <c r="A84" s="268" t="s">
        <v>129</v>
      </c>
      <c r="B84" s="268"/>
      <c r="C84" s="269" t="s">
        <v>167</v>
      </c>
      <c r="D84" s="270" t="s">
        <v>168</v>
      </c>
      <c r="E84" s="271"/>
      <c r="F84" s="272">
        <v>328693.69</v>
      </c>
      <c r="G84" s="273">
        <v>328693.69</v>
      </c>
      <c r="H84" s="272"/>
    </row>
    <row r="85" spans="1:16" hidden="1">
      <c r="A85" s="268" t="s">
        <v>169</v>
      </c>
      <c r="B85" s="268"/>
      <c r="C85" s="269" t="s">
        <v>170</v>
      </c>
      <c r="D85" s="270" t="s">
        <v>171</v>
      </c>
      <c r="E85" s="271"/>
      <c r="F85" s="272">
        <v>380086.43</v>
      </c>
      <c r="G85" s="273">
        <v>380086.43</v>
      </c>
      <c r="H85" s="272"/>
    </row>
    <row r="86" spans="1:16" hidden="1">
      <c r="A86" s="268" t="s">
        <v>172</v>
      </c>
      <c r="B86" s="268"/>
      <c r="C86" s="269" t="s">
        <v>173</v>
      </c>
      <c r="D86" s="270" t="s">
        <v>131</v>
      </c>
      <c r="E86" s="271"/>
      <c r="F86" s="272">
        <v>380082.98</v>
      </c>
      <c r="G86" s="273">
        <v>380086.43</v>
      </c>
      <c r="H86" s="272"/>
    </row>
    <row r="87" spans="1:16" hidden="1">
      <c r="A87" s="268" t="s">
        <v>132</v>
      </c>
      <c r="B87" s="268"/>
      <c r="C87" s="269" t="s">
        <v>133</v>
      </c>
      <c r="D87" s="270" t="s">
        <v>134</v>
      </c>
      <c r="E87" s="271"/>
      <c r="F87" s="272">
        <v>364268.3</v>
      </c>
      <c r="G87" s="273">
        <v>364271.61</v>
      </c>
      <c r="H87" s="272"/>
    </row>
    <row r="88" spans="1:16" hidden="1">
      <c r="A88" s="268" t="s">
        <v>174</v>
      </c>
      <c r="B88" s="268"/>
      <c r="C88" s="269" t="s">
        <v>175</v>
      </c>
      <c r="D88" s="270" t="s">
        <v>176</v>
      </c>
      <c r="E88" s="271"/>
      <c r="F88" s="272">
        <v>510479.84</v>
      </c>
      <c r="G88" s="273">
        <v>510479.84</v>
      </c>
      <c r="H88" s="272"/>
    </row>
    <row r="89" spans="1:16" hidden="1">
      <c r="A89" s="268" t="s">
        <v>177</v>
      </c>
      <c r="B89" s="268"/>
      <c r="C89" s="269" t="s">
        <v>178</v>
      </c>
      <c r="D89" s="270" t="s">
        <v>176</v>
      </c>
      <c r="E89" s="271"/>
      <c r="F89" s="272">
        <v>510479.84</v>
      </c>
      <c r="G89" s="273">
        <v>510479.84</v>
      </c>
      <c r="H89" s="272"/>
    </row>
    <row r="90" spans="1:16" hidden="1">
      <c r="A90" s="274"/>
      <c r="B90" s="274"/>
      <c r="C90" s="274"/>
      <c r="D90" s="274"/>
      <c r="E90" s="274"/>
      <c r="F90" s="275"/>
    </row>
    <row r="91" spans="1:16" hidden="1">
      <c r="A91" s="274"/>
      <c r="B91" s="274"/>
      <c r="C91" s="274"/>
      <c r="D91" s="274"/>
      <c r="E91" s="274"/>
      <c r="F91" s="276">
        <f>SUM(F84:F89)</f>
        <v>2474091.08</v>
      </c>
      <c r="G91" s="276">
        <f>SUM(G84:G89)</f>
        <v>2474097.8400000003</v>
      </c>
      <c r="H91" s="276">
        <f>SUM(H84:H89)</f>
        <v>0</v>
      </c>
    </row>
    <row r="92" spans="1:16" hidden="1"/>
    <row r="93" spans="1:16" hidden="1">
      <c r="A93" s="300" t="s">
        <v>174</v>
      </c>
      <c r="B93" s="301" t="s">
        <v>40</v>
      </c>
      <c r="C93" s="301" t="s">
        <v>179</v>
      </c>
      <c r="D93" s="302" t="s">
        <v>180</v>
      </c>
      <c r="E93" s="303"/>
      <c r="F93" s="304"/>
      <c r="G93" s="305"/>
      <c r="H93" s="306"/>
      <c r="I93" s="307">
        <f>IFERROR(((F93-G93)/H93)/12,0)</f>
        <v>0</v>
      </c>
      <c r="J93" s="308">
        <v>2</v>
      </c>
      <c r="K93" s="309">
        <v>510479.84</v>
      </c>
      <c r="L93" s="225" t="s">
        <v>181</v>
      </c>
    </row>
    <row r="94" spans="1:16" hidden="1">
      <c r="A94" s="300" t="s">
        <v>177</v>
      </c>
      <c r="B94" s="301" t="s">
        <v>40</v>
      </c>
      <c r="C94" s="301" t="s">
        <v>182</v>
      </c>
      <c r="D94" s="302" t="s">
        <v>183</v>
      </c>
      <c r="E94" s="303"/>
      <c r="F94" s="304"/>
      <c r="G94" s="305"/>
      <c r="H94" s="306"/>
      <c r="I94" s="307">
        <f>IFERROR(((F94-G94)/H94)/12,0)</f>
        <v>0</v>
      </c>
      <c r="J94" s="308">
        <v>2</v>
      </c>
      <c r="K94" s="309">
        <v>510479.84</v>
      </c>
      <c r="L94" s="225" t="s">
        <v>181</v>
      </c>
    </row>
    <row r="95" spans="1:16" hidden="1">
      <c r="A95" s="300" t="s">
        <v>169</v>
      </c>
      <c r="B95" s="301" t="s">
        <v>40</v>
      </c>
      <c r="C95" s="301" t="s">
        <v>170</v>
      </c>
      <c r="D95" s="302" t="s">
        <v>171</v>
      </c>
      <c r="E95" s="303"/>
      <c r="F95" s="304"/>
      <c r="G95" s="305"/>
      <c r="H95" s="306"/>
      <c r="I95" s="307">
        <f>IFERROR(((F95-G95)/H95)/12,0)</f>
        <v>0</v>
      </c>
      <c r="J95" s="308">
        <v>2</v>
      </c>
      <c r="K95" s="309">
        <v>380086.43</v>
      </c>
      <c r="L95" s="225" t="s">
        <v>181</v>
      </c>
    </row>
    <row r="96" spans="1:16" hidden="1">
      <c r="A96" s="300" t="s">
        <v>172</v>
      </c>
      <c r="B96" s="301" t="s">
        <v>40</v>
      </c>
      <c r="C96" s="310" t="s">
        <v>184</v>
      </c>
      <c r="D96" s="311" t="s">
        <v>185</v>
      </c>
      <c r="E96" s="303"/>
      <c r="F96" s="304"/>
      <c r="G96" s="305"/>
      <c r="H96" s="306"/>
      <c r="I96" s="307">
        <f>IFERROR(((F96-G96)/H96)/12,0)</f>
        <v>0</v>
      </c>
      <c r="J96" s="308">
        <v>2</v>
      </c>
      <c r="K96" s="309">
        <v>370867.47</v>
      </c>
      <c r="L96" s="312" t="s">
        <v>181</v>
      </c>
    </row>
    <row r="97" spans="11:11" hidden="1"/>
    <row r="98" spans="11:11" hidden="1">
      <c r="K98" s="250">
        <f>SUM(K93:K96)</f>
        <v>1771913.58</v>
      </c>
    </row>
    <row r="99" spans="11:11" hidden="1"/>
  </sheetData>
  <mergeCells count="2">
    <mergeCell ref="A3:I3"/>
    <mergeCell ref="A27:I27"/>
  </mergeCells>
  <phoneticPr fontId="7" type="noConversion"/>
  <pageMargins left="0.7" right="0.7" top="0.75" bottom="0.75" header="0.3" footer="0.3"/>
  <pageSetup scale="3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030A0"/>
    <pageSetUpPr fitToPage="1"/>
  </sheetPr>
  <dimension ref="A1:R61"/>
  <sheetViews>
    <sheetView topLeftCell="A36" zoomScale="60" zoomScaleNormal="60" workbookViewId="0">
      <selection activeCell="F9" sqref="F9"/>
    </sheetView>
  </sheetViews>
  <sheetFormatPr defaultColWidth="9.140625" defaultRowHeight="21"/>
  <cols>
    <col min="1" max="1" width="16.85546875" style="78" bestFit="1" customWidth="1"/>
    <col min="2" max="2" width="29.28515625" style="78" bestFit="1" customWidth="1"/>
    <col min="3" max="3" width="63.85546875" style="78" bestFit="1" customWidth="1"/>
    <col min="4" max="4" width="39.5703125" style="78" bestFit="1" customWidth="1"/>
    <col min="5" max="5" width="20.5703125" style="78" bestFit="1" customWidth="1"/>
    <col min="6" max="6" width="22.7109375" style="79" bestFit="1" customWidth="1"/>
    <col min="7" max="7" width="20.140625" style="79" bestFit="1" customWidth="1"/>
    <col min="8" max="8" width="20.5703125" style="80" bestFit="1" customWidth="1"/>
    <col min="9" max="9" width="33" style="79" bestFit="1" customWidth="1"/>
    <col min="10" max="10" width="13.42578125" style="78" bestFit="1" customWidth="1"/>
    <col min="11" max="11" width="29.140625" style="78" bestFit="1" customWidth="1"/>
    <col min="12" max="12" width="29.7109375" style="78" bestFit="1" customWidth="1"/>
    <col min="13" max="13" width="9.140625" style="78"/>
    <col min="14" max="14" width="15.42578125" style="81" bestFit="1" customWidth="1"/>
    <col min="15" max="15" width="22.7109375" style="81" bestFit="1" customWidth="1"/>
    <col min="16" max="16" width="11" style="81" bestFit="1" customWidth="1"/>
    <col min="17" max="16384" width="9.140625" style="78"/>
  </cols>
  <sheetData>
    <row r="1" spans="1:16">
      <c r="A1" s="16" t="s">
        <v>186</v>
      </c>
      <c r="B1" s="16"/>
    </row>
    <row r="3" spans="1:16">
      <c r="A3" s="333" t="s">
        <v>28</v>
      </c>
      <c r="B3" s="333"/>
      <c r="C3" s="333"/>
      <c r="D3" s="333"/>
      <c r="E3" s="333"/>
      <c r="F3" s="333"/>
      <c r="G3" s="333"/>
      <c r="H3" s="333"/>
      <c r="I3" s="333"/>
    </row>
    <row r="4" spans="1:16">
      <c r="A4" s="82" t="s">
        <v>29</v>
      </c>
      <c r="B4" s="82" t="s">
        <v>30</v>
      </c>
      <c r="C4" s="82" t="s">
        <v>31</v>
      </c>
      <c r="D4" s="82" t="s">
        <v>32</v>
      </c>
      <c r="E4" s="82" t="s">
        <v>33</v>
      </c>
      <c r="F4" s="83" t="s">
        <v>34</v>
      </c>
      <c r="G4" s="83" t="s">
        <v>35</v>
      </c>
      <c r="H4" s="82" t="s">
        <v>36</v>
      </c>
      <c r="I4" s="83" t="s">
        <v>37</v>
      </c>
      <c r="L4" s="210" t="s">
        <v>38</v>
      </c>
      <c r="O4" s="84" t="s">
        <v>18</v>
      </c>
    </row>
    <row r="5" spans="1:16">
      <c r="A5" s="324" t="s">
        <v>169</v>
      </c>
      <c r="B5" s="131" t="s">
        <v>40</v>
      </c>
      <c r="C5" s="132" t="s">
        <v>187</v>
      </c>
      <c r="D5" s="152" t="s">
        <v>188</v>
      </c>
      <c r="E5" s="323">
        <v>45761</v>
      </c>
      <c r="F5" s="154">
        <v>431232.94</v>
      </c>
      <c r="G5" s="154">
        <v>60000</v>
      </c>
      <c r="H5" s="140">
        <v>10</v>
      </c>
      <c r="I5" s="154">
        <f t="shared" ref="I5:I25" si="0">IFERROR(((F5-G5)/H5)/12,0)</f>
        <v>3093.6078333333335</v>
      </c>
      <c r="J5" s="87"/>
      <c r="L5" s="88">
        <v>5397</v>
      </c>
      <c r="N5" s="81" t="s">
        <v>24</v>
      </c>
      <c r="O5" s="226">
        <f>SUMIF(B5:B26,"*EQUIPMENT*",F5:F26)</f>
        <v>568591.67999999993</v>
      </c>
      <c r="P5" s="90">
        <f>O5/O9</f>
        <v>1</v>
      </c>
    </row>
    <row r="6" spans="1:16">
      <c r="A6" s="324" t="s">
        <v>174</v>
      </c>
      <c r="B6" s="131" t="s">
        <v>40</v>
      </c>
      <c r="C6" s="131" t="s">
        <v>189</v>
      </c>
      <c r="D6" s="152" t="s">
        <v>190</v>
      </c>
      <c r="E6" s="138">
        <v>45761</v>
      </c>
      <c r="F6" s="198">
        <v>75940.740000000005</v>
      </c>
      <c r="G6" s="139">
        <v>25000</v>
      </c>
      <c r="H6" s="140">
        <v>10</v>
      </c>
      <c r="I6" s="154">
        <f t="shared" si="0"/>
        <v>424.50616666666673</v>
      </c>
      <c r="L6" s="88">
        <v>318197</v>
      </c>
      <c r="N6" s="81" t="s">
        <v>25</v>
      </c>
      <c r="O6" s="89">
        <f>SUMIF(B5:B26,"*VEHICLE*",F5:F26)</f>
        <v>0</v>
      </c>
      <c r="P6" s="90">
        <f>O6/O9</f>
        <v>0</v>
      </c>
    </row>
    <row r="7" spans="1:16">
      <c r="A7" s="131" t="s">
        <v>191</v>
      </c>
      <c r="B7" s="131" t="s">
        <v>40</v>
      </c>
      <c r="C7" s="131" t="s">
        <v>192</v>
      </c>
      <c r="D7" s="152" t="s">
        <v>193</v>
      </c>
      <c r="E7" s="138">
        <v>45777</v>
      </c>
      <c r="F7" s="139">
        <f>47500*1.07</f>
        <v>50825</v>
      </c>
      <c r="G7" s="326"/>
      <c r="H7" s="327"/>
      <c r="I7" s="154">
        <f>IFERROR(((F7-G7)/H7)/12,0)</f>
        <v>0</v>
      </c>
      <c r="L7" s="88" t="s">
        <v>194</v>
      </c>
      <c r="N7" s="81" t="s">
        <v>26</v>
      </c>
      <c r="O7" s="89">
        <f>SUMIF(B5:B26,"*TRAILER*",F5:F26)</f>
        <v>0</v>
      </c>
      <c r="P7" s="90">
        <f>O7/O9</f>
        <v>0</v>
      </c>
    </row>
    <row r="8" spans="1:16">
      <c r="A8" s="131" t="s">
        <v>195</v>
      </c>
      <c r="B8" s="131" t="s">
        <v>40</v>
      </c>
      <c r="C8" s="131" t="s">
        <v>196</v>
      </c>
      <c r="D8" s="152" t="s">
        <v>197</v>
      </c>
      <c r="E8" s="138">
        <v>45784</v>
      </c>
      <c r="F8" s="139">
        <v>10593</v>
      </c>
      <c r="G8" s="139">
        <v>2000</v>
      </c>
      <c r="H8" s="140">
        <v>7</v>
      </c>
      <c r="I8" s="154">
        <f t="shared" si="0"/>
        <v>102.29761904761905</v>
      </c>
      <c r="J8" s="92"/>
      <c r="L8" s="88"/>
    </row>
    <row r="9" spans="1:16">
      <c r="A9" s="131"/>
      <c r="B9" s="131"/>
      <c r="C9" s="131"/>
      <c r="D9" s="153"/>
      <c r="E9" s="138"/>
      <c r="F9" s="139"/>
      <c r="G9" s="139"/>
      <c r="H9" s="140"/>
      <c r="I9" s="154">
        <f t="shared" si="0"/>
        <v>0</v>
      </c>
      <c r="J9" s="92"/>
      <c r="L9" s="88"/>
      <c r="O9" s="93">
        <f>SUM(O5:O8)</f>
        <v>568591.67999999993</v>
      </c>
    </row>
    <row r="10" spans="1:16">
      <c r="A10" s="131"/>
      <c r="B10" s="131"/>
      <c r="C10" s="131"/>
      <c r="D10" s="153"/>
      <c r="E10" s="138"/>
      <c r="F10" s="139"/>
      <c r="G10" s="139"/>
      <c r="H10" s="140"/>
      <c r="I10" s="154">
        <f t="shared" si="0"/>
        <v>0</v>
      </c>
      <c r="J10" s="92"/>
      <c r="L10" s="88"/>
      <c r="O10" s="89">
        <f>O9-F34</f>
        <v>0</v>
      </c>
    </row>
    <row r="11" spans="1:16">
      <c r="A11" s="131"/>
      <c r="B11" s="131"/>
      <c r="C11" s="131"/>
      <c r="D11" s="153"/>
      <c r="E11" s="138"/>
      <c r="F11" s="139"/>
      <c r="G11" s="139"/>
      <c r="H11" s="140"/>
      <c r="I11" s="154">
        <f t="shared" si="0"/>
        <v>0</v>
      </c>
      <c r="J11" s="92"/>
      <c r="L11" s="88"/>
      <c r="O11" s="89"/>
    </row>
    <row r="12" spans="1:16">
      <c r="A12" s="131"/>
      <c r="B12" s="131"/>
      <c r="C12" s="131"/>
      <c r="D12" s="153"/>
      <c r="E12" s="138"/>
      <c r="F12" s="139"/>
      <c r="G12" s="139"/>
      <c r="H12" s="140"/>
      <c r="I12" s="154">
        <f t="shared" si="0"/>
        <v>0</v>
      </c>
      <c r="J12" s="92"/>
      <c r="L12" s="88"/>
      <c r="O12" s="89"/>
    </row>
    <row r="13" spans="1:16">
      <c r="A13" s="131"/>
      <c r="B13" s="131"/>
      <c r="C13" s="131"/>
      <c r="D13" s="153"/>
      <c r="E13" s="138"/>
      <c r="F13" s="139"/>
      <c r="G13" s="139"/>
      <c r="H13" s="140"/>
      <c r="I13" s="154">
        <f t="shared" si="0"/>
        <v>0</v>
      </c>
      <c r="J13" s="92"/>
      <c r="L13" s="88"/>
      <c r="O13" s="89"/>
    </row>
    <row r="14" spans="1:16">
      <c r="A14" s="131"/>
      <c r="B14" s="131"/>
      <c r="C14" s="131"/>
      <c r="D14" s="153"/>
      <c r="E14" s="138"/>
      <c r="F14" s="139"/>
      <c r="G14" s="139"/>
      <c r="H14" s="140"/>
      <c r="I14" s="154">
        <f t="shared" si="0"/>
        <v>0</v>
      </c>
      <c r="J14" s="92"/>
      <c r="L14" s="88"/>
      <c r="O14" s="89"/>
    </row>
    <row r="15" spans="1:16">
      <c r="A15" s="131"/>
      <c r="B15" s="131"/>
      <c r="C15" s="131"/>
      <c r="D15" s="153"/>
      <c r="E15" s="138"/>
      <c r="F15" s="139"/>
      <c r="G15" s="139"/>
      <c r="H15" s="140"/>
      <c r="I15" s="154">
        <f t="shared" si="0"/>
        <v>0</v>
      </c>
      <c r="J15" s="92"/>
      <c r="L15" s="88"/>
      <c r="O15" s="89"/>
    </row>
    <row r="16" spans="1:16">
      <c r="A16" s="131"/>
      <c r="B16" s="131"/>
      <c r="C16" s="131"/>
      <c r="D16" s="153"/>
      <c r="E16" s="138"/>
      <c r="F16" s="139"/>
      <c r="G16" s="139"/>
      <c r="H16" s="140"/>
      <c r="I16" s="154">
        <f t="shared" si="0"/>
        <v>0</v>
      </c>
      <c r="J16" s="92"/>
      <c r="L16" s="88"/>
      <c r="O16" s="89"/>
    </row>
    <row r="17" spans="1:15">
      <c r="A17" s="131"/>
      <c r="B17" s="131"/>
      <c r="C17" s="131"/>
      <c r="D17" s="153"/>
      <c r="E17" s="138"/>
      <c r="F17" s="139"/>
      <c r="G17" s="139"/>
      <c r="H17" s="140"/>
      <c r="I17" s="154">
        <f t="shared" si="0"/>
        <v>0</v>
      </c>
      <c r="J17" s="92"/>
      <c r="L17" s="88"/>
      <c r="O17" s="89"/>
    </row>
    <row r="18" spans="1:15">
      <c r="A18" s="131"/>
      <c r="B18" s="131"/>
      <c r="C18" s="131"/>
      <c r="D18" s="153"/>
      <c r="E18" s="138"/>
      <c r="F18" s="139"/>
      <c r="G18" s="139"/>
      <c r="H18" s="140"/>
      <c r="I18" s="154">
        <f t="shared" si="0"/>
        <v>0</v>
      </c>
      <c r="J18" s="92"/>
      <c r="L18" s="88"/>
      <c r="O18" s="89"/>
    </row>
    <row r="19" spans="1:15">
      <c r="A19" s="131"/>
      <c r="B19" s="131"/>
      <c r="C19" s="131"/>
      <c r="D19" s="153"/>
      <c r="E19" s="138"/>
      <c r="F19" s="139"/>
      <c r="G19" s="139"/>
      <c r="H19" s="140"/>
      <c r="I19" s="154">
        <f t="shared" si="0"/>
        <v>0</v>
      </c>
      <c r="J19" s="92"/>
      <c r="L19" s="189"/>
      <c r="O19" s="89"/>
    </row>
    <row r="20" spans="1:15">
      <c r="A20" s="131"/>
      <c r="B20" s="131"/>
      <c r="C20" s="131"/>
      <c r="D20" s="153"/>
      <c r="E20" s="138"/>
      <c r="F20" s="139"/>
      <c r="G20" s="139"/>
      <c r="H20" s="140"/>
      <c r="I20" s="154">
        <f t="shared" si="0"/>
        <v>0</v>
      </c>
      <c r="J20" s="92"/>
      <c r="L20" s="88"/>
      <c r="O20" s="89"/>
    </row>
    <row r="21" spans="1:15">
      <c r="A21" s="131"/>
      <c r="B21" s="131"/>
      <c r="C21" s="131"/>
      <c r="D21" s="153"/>
      <c r="E21" s="138"/>
      <c r="F21" s="139"/>
      <c r="G21" s="139"/>
      <c r="H21" s="140"/>
      <c r="I21" s="154">
        <f t="shared" si="0"/>
        <v>0</v>
      </c>
      <c r="J21" s="92"/>
      <c r="L21" s="88"/>
      <c r="O21" s="89"/>
    </row>
    <row r="22" spans="1:15">
      <c r="A22" s="131"/>
      <c r="B22" s="131"/>
      <c r="C22" s="131"/>
      <c r="D22" s="153"/>
      <c r="E22" s="138"/>
      <c r="F22" s="139"/>
      <c r="G22" s="139"/>
      <c r="H22" s="140"/>
      <c r="I22" s="154">
        <f t="shared" si="0"/>
        <v>0</v>
      </c>
      <c r="J22" s="92"/>
      <c r="L22" s="88"/>
      <c r="O22" s="89"/>
    </row>
    <row r="23" spans="1:15">
      <c r="A23" s="131"/>
      <c r="B23" s="131"/>
      <c r="C23" s="131"/>
      <c r="D23" s="153"/>
      <c r="E23" s="138"/>
      <c r="F23" s="139"/>
      <c r="G23" s="139"/>
      <c r="H23" s="140"/>
      <c r="I23" s="154">
        <f t="shared" si="0"/>
        <v>0</v>
      </c>
      <c r="J23" s="92"/>
      <c r="L23" s="88"/>
      <c r="O23" s="89"/>
    </row>
    <row r="24" spans="1:15">
      <c r="A24" s="131"/>
      <c r="B24" s="131"/>
      <c r="C24" s="131"/>
      <c r="D24" s="153"/>
      <c r="E24" s="138"/>
      <c r="F24" s="139"/>
      <c r="G24" s="139"/>
      <c r="H24" s="140"/>
      <c r="I24" s="154">
        <f t="shared" si="0"/>
        <v>0</v>
      </c>
      <c r="J24" s="92"/>
      <c r="L24" s="189"/>
      <c r="O24" s="89"/>
    </row>
    <row r="25" spans="1:15">
      <c r="A25" s="131"/>
      <c r="B25" s="131"/>
      <c r="C25" s="131"/>
      <c r="D25" s="153"/>
      <c r="E25" s="138"/>
      <c r="F25" s="139"/>
      <c r="G25" s="139"/>
      <c r="H25" s="140"/>
      <c r="I25" s="154">
        <f t="shared" si="0"/>
        <v>0</v>
      </c>
      <c r="J25" s="92"/>
      <c r="L25" s="88"/>
      <c r="O25" s="89"/>
    </row>
    <row r="26" spans="1:15">
      <c r="A26" s="131"/>
      <c r="B26" s="131"/>
      <c r="C26" s="131"/>
      <c r="D26" s="153"/>
      <c r="E26" s="138"/>
      <c r="F26" s="139"/>
      <c r="G26" s="139"/>
      <c r="H26" s="140"/>
      <c r="I26" s="154">
        <f t="shared" ref="I26" si="1">IFERROR(((F26-G26)/H26)/12,0)</f>
        <v>0</v>
      </c>
      <c r="J26" s="92"/>
      <c r="L26" s="88"/>
      <c r="O26" s="89"/>
    </row>
    <row r="27" spans="1:15">
      <c r="A27" s="137"/>
      <c r="B27" s="137"/>
      <c r="C27" s="137"/>
      <c r="D27" s="155"/>
      <c r="E27" s="141"/>
      <c r="F27" s="142"/>
      <c r="G27" s="142"/>
      <c r="H27" s="143"/>
      <c r="I27" s="328">
        <f>IFERROR(((F27-G27)/H27)/12,0)</f>
        <v>0</v>
      </c>
      <c r="J27" s="92"/>
      <c r="L27" s="88"/>
    </row>
    <row r="28" spans="1:15">
      <c r="A28" s="137"/>
      <c r="B28" s="137"/>
      <c r="C28" s="137"/>
      <c r="D28" s="155"/>
      <c r="E28" s="141"/>
      <c r="F28" s="142"/>
      <c r="G28" s="142"/>
      <c r="H28" s="143"/>
      <c r="I28" s="328">
        <f t="shared" ref="I28:I30" si="2">IFERROR(((F28-G28)/H28)/12,0)</f>
        <v>0</v>
      </c>
      <c r="J28" s="92"/>
      <c r="L28" s="88"/>
      <c r="N28" s="89"/>
    </row>
    <row r="29" spans="1:15">
      <c r="A29" s="137"/>
      <c r="B29" s="137"/>
      <c r="C29" s="137"/>
      <c r="D29" s="155"/>
      <c r="E29" s="141"/>
      <c r="F29" s="142"/>
      <c r="G29" s="142"/>
      <c r="H29" s="143"/>
      <c r="I29" s="328">
        <f t="shared" si="2"/>
        <v>0</v>
      </c>
      <c r="J29" s="92"/>
      <c r="L29" s="88"/>
      <c r="N29" s="89"/>
    </row>
    <row r="30" spans="1:15">
      <c r="A30" s="137"/>
      <c r="B30" s="137"/>
      <c r="C30" s="137"/>
      <c r="D30" s="155"/>
      <c r="E30" s="141"/>
      <c r="F30" s="142"/>
      <c r="G30" s="142"/>
      <c r="H30" s="143"/>
      <c r="I30" s="328">
        <f t="shared" si="2"/>
        <v>0</v>
      </c>
      <c r="J30" s="92"/>
      <c r="L30" s="88"/>
    </row>
    <row r="31" spans="1:15">
      <c r="A31" s="87"/>
      <c r="B31" s="87"/>
      <c r="C31" s="108"/>
      <c r="D31" s="108"/>
      <c r="E31" s="109"/>
      <c r="F31" s="110"/>
      <c r="G31" s="110"/>
      <c r="H31" s="111"/>
      <c r="I31" s="112"/>
      <c r="J31" s="92"/>
    </row>
    <row r="32" spans="1:15">
      <c r="I32" s="86"/>
    </row>
    <row r="33" spans="1:18">
      <c r="E33" s="78" t="s">
        <v>162</v>
      </c>
      <c r="F33" s="94">
        <f>SUM(F27:F30)</f>
        <v>0</v>
      </c>
      <c r="H33" s="80" t="s">
        <v>79</v>
      </c>
      <c r="I33" s="79">
        <f>SUM(I5:I32)</f>
        <v>3620.4116190476193</v>
      </c>
    </row>
    <row r="34" spans="1:18">
      <c r="E34" s="78" t="s">
        <v>24</v>
      </c>
      <c r="F34" s="79">
        <f>SUM(F5:F26)</f>
        <v>568591.67999999993</v>
      </c>
      <c r="H34" s="80" t="s">
        <v>80</v>
      </c>
      <c r="I34" s="95">
        <f>I33*12</f>
        <v>43444.93942857143</v>
      </c>
    </row>
    <row r="35" spans="1:18" ht="21.75" thickBot="1">
      <c r="E35" s="78" t="s">
        <v>81</v>
      </c>
      <c r="F35" s="96">
        <f>SUM(F33:F34)</f>
        <v>568591.67999999993</v>
      </c>
    </row>
    <row r="36" spans="1:18" ht="21.75" thickTop="1"/>
    <row r="37" spans="1:18">
      <c r="A37" s="333" t="s">
        <v>82</v>
      </c>
      <c r="B37" s="333"/>
      <c r="C37" s="333"/>
      <c r="D37" s="333"/>
      <c r="E37" s="333"/>
      <c r="F37" s="333"/>
      <c r="G37" s="333"/>
      <c r="H37" s="333"/>
      <c r="I37" s="333"/>
    </row>
    <row r="38" spans="1:18">
      <c r="A38" s="82" t="s">
        <v>29</v>
      </c>
      <c r="B38" s="82" t="s">
        <v>30</v>
      </c>
      <c r="C38" s="82" t="s">
        <v>31</v>
      </c>
      <c r="D38" s="82" t="s">
        <v>32</v>
      </c>
      <c r="E38" s="82" t="s">
        <v>33</v>
      </c>
      <c r="F38" s="83" t="s">
        <v>34</v>
      </c>
      <c r="G38" s="83" t="s">
        <v>35</v>
      </c>
      <c r="H38" s="82" t="s">
        <v>36</v>
      </c>
      <c r="I38" s="83" t="s">
        <v>37</v>
      </c>
      <c r="J38" s="83" t="s">
        <v>198</v>
      </c>
      <c r="L38" s="210" t="s">
        <v>38</v>
      </c>
      <c r="O38" s="84" t="s">
        <v>18</v>
      </c>
    </row>
    <row r="39" spans="1:18">
      <c r="A39" s="131" t="s">
        <v>199</v>
      </c>
      <c r="B39" s="131" t="s">
        <v>40</v>
      </c>
      <c r="C39" s="132" t="s">
        <v>200</v>
      </c>
      <c r="D39" s="152" t="s">
        <v>201</v>
      </c>
      <c r="E39" s="323">
        <v>45763</v>
      </c>
      <c r="F39" s="154">
        <f>43900+354706+13988.48</f>
        <v>412594.48</v>
      </c>
      <c r="G39" s="154">
        <v>150000</v>
      </c>
      <c r="H39" s="140">
        <v>10</v>
      </c>
      <c r="I39" s="154">
        <f t="shared" ref="I39" si="3">IFERROR(((F39-G39)/H39)/12,0)</f>
        <v>2188.2873333333332</v>
      </c>
      <c r="J39" s="224"/>
      <c r="K39" s="78" t="s">
        <v>202</v>
      </c>
      <c r="L39" s="225" t="s">
        <v>203</v>
      </c>
      <c r="N39" s="81" t="s">
        <v>24</v>
      </c>
      <c r="O39" s="226">
        <f>SUMIF(B39:B50,"*EQUIPMENT*",F39:F50)</f>
        <v>1125969.48</v>
      </c>
      <c r="P39" s="90">
        <f>O39/O43</f>
        <v>1</v>
      </c>
      <c r="R39" s="210" t="s">
        <v>204</v>
      </c>
    </row>
    <row r="40" spans="1:18">
      <c r="A40" s="191" t="s">
        <v>205</v>
      </c>
      <c r="B40" s="131" t="s">
        <v>40</v>
      </c>
      <c r="C40" s="131" t="s">
        <v>206</v>
      </c>
      <c r="D40" s="152" t="s">
        <v>207</v>
      </c>
      <c r="E40" s="138">
        <v>45772</v>
      </c>
      <c r="F40" s="194">
        <v>713375</v>
      </c>
      <c r="G40" s="326">
        <v>350000</v>
      </c>
      <c r="H40" s="327">
        <v>12</v>
      </c>
      <c r="I40" s="154">
        <f>IFERROR(((F40-G40)/H40)/12,0)</f>
        <v>2523.4375</v>
      </c>
      <c r="J40" s="224"/>
      <c r="L40" s="88">
        <v>319208</v>
      </c>
      <c r="N40" s="81" t="s">
        <v>25</v>
      </c>
      <c r="O40" s="226">
        <f>SUMIF(B39:B50,"*VEHICLE*",F39:F50)</f>
        <v>0</v>
      </c>
      <c r="P40" s="90">
        <f>O40/O43</f>
        <v>0</v>
      </c>
    </row>
    <row r="41" spans="1:18">
      <c r="A41" s="152"/>
      <c r="B41" s="152"/>
      <c r="C41" s="136"/>
      <c r="D41" s="136"/>
      <c r="E41" s="157"/>
      <c r="F41" s="139"/>
      <c r="G41" s="158"/>
      <c r="H41" s="135"/>
      <c r="I41" s="154">
        <f t="shared" ref="I41:I49" si="4">IFERROR(((F41-G41)/H41)/12,0)</f>
        <v>0</v>
      </c>
      <c r="J41" s="224"/>
      <c r="L41" s="88"/>
      <c r="N41" s="81" t="s">
        <v>26</v>
      </c>
      <c r="O41" s="226">
        <f>SUMIF(B39:B50,"*TRAILER*",F39:F50)</f>
        <v>0</v>
      </c>
      <c r="P41" s="90">
        <f>O41/O43</f>
        <v>0</v>
      </c>
    </row>
    <row r="42" spans="1:18">
      <c r="A42" s="152"/>
      <c r="B42" s="152"/>
      <c r="C42" s="131"/>
      <c r="D42" s="156"/>
      <c r="E42" s="157"/>
      <c r="F42" s="139"/>
      <c r="G42" s="158"/>
      <c r="H42" s="135"/>
      <c r="I42" s="154">
        <f t="shared" si="4"/>
        <v>0</v>
      </c>
      <c r="J42" s="224"/>
      <c r="L42" s="88"/>
    </row>
    <row r="43" spans="1:18">
      <c r="A43" s="152"/>
      <c r="B43" s="152"/>
      <c r="C43" s="131"/>
      <c r="D43" s="156"/>
      <c r="E43" s="157"/>
      <c r="F43" s="139"/>
      <c r="G43" s="158"/>
      <c r="H43" s="135"/>
      <c r="I43" s="154">
        <f t="shared" si="4"/>
        <v>0</v>
      </c>
      <c r="J43" s="224"/>
      <c r="L43" s="88"/>
      <c r="O43" s="93">
        <f>SUM(O39:O42)</f>
        <v>1125969.48</v>
      </c>
    </row>
    <row r="44" spans="1:18">
      <c r="A44" s="152"/>
      <c r="B44" s="152"/>
      <c r="C44" s="131"/>
      <c r="D44" s="156"/>
      <c r="E44" s="157"/>
      <c r="F44" s="139"/>
      <c r="G44" s="158"/>
      <c r="H44" s="135"/>
      <c r="I44" s="154">
        <f t="shared" si="4"/>
        <v>0</v>
      </c>
      <c r="J44" s="224"/>
      <c r="L44" s="88"/>
      <c r="O44" s="89">
        <f>O43-F55</f>
        <v>0</v>
      </c>
      <c r="P44" s="90"/>
    </row>
    <row r="45" spans="1:18">
      <c r="A45" s="152"/>
      <c r="B45" s="152"/>
      <c r="C45" s="131"/>
      <c r="D45" s="156"/>
      <c r="E45" s="157"/>
      <c r="F45" s="139"/>
      <c r="G45" s="158"/>
      <c r="H45" s="135"/>
      <c r="I45" s="154">
        <f t="shared" si="4"/>
        <v>0</v>
      </c>
      <c r="J45" s="224"/>
      <c r="L45" s="88"/>
      <c r="O45" s="89"/>
      <c r="P45" s="90"/>
    </row>
    <row r="46" spans="1:18">
      <c r="A46" s="152"/>
      <c r="B46" s="152"/>
      <c r="C46" s="131"/>
      <c r="D46" s="156"/>
      <c r="E46" s="157"/>
      <c r="F46" s="139"/>
      <c r="G46" s="158"/>
      <c r="H46" s="135"/>
      <c r="I46" s="154">
        <f t="shared" si="4"/>
        <v>0</v>
      </c>
      <c r="J46" s="224"/>
      <c r="L46" s="88"/>
      <c r="O46" s="89"/>
      <c r="P46" s="90"/>
    </row>
    <row r="47" spans="1:18">
      <c r="A47" s="152"/>
      <c r="B47" s="152"/>
      <c r="C47" s="131"/>
      <c r="D47" s="156"/>
      <c r="E47" s="157"/>
      <c r="F47" s="139"/>
      <c r="G47" s="158"/>
      <c r="H47" s="135"/>
      <c r="I47" s="154">
        <f t="shared" si="4"/>
        <v>0</v>
      </c>
      <c r="J47" s="224"/>
      <c r="L47" s="88"/>
      <c r="O47" s="89"/>
      <c r="P47" s="90"/>
    </row>
    <row r="48" spans="1:18">
      <c r="A48" s="152"/>
      <c r="B48" s="152"/>
      <c r="C48" s="131"/>
      <c r="D48" s="156"/>
      <c r="E48" s="157"/>
      <c r="F48" s="139"/>
      <c r="G48" s="158"/>
      <c r="H48" s="135"/>
      <c r="I48" s="154">
        <f t="shared" si="4"/>
        <v>0</v>
      </c>
      <c r="J48" s="224"/>
      <c r="L48" s="88"/>
    </row>
    <row r="49" spans="1:16">
      <c r="A49" s="152"/>
      <c r="B49" s="152"/>
      <c r="C49" s="136"/>
      <c r="D49" s="136"/>
      <c r="E49" s="157"/>
      <c r="F49" s="139"/>
      <c r="G49" s="158"/>
      <c r="H49" s="135"/>
      <c r="I49" s="154">
        <f t="shared" si="4"/>
        <v>0</v>
      </c>
      <c r="J49" s="224"/>
      <c r="L49" s="88"/>
    </row>
    <row r="50" spans="1:16">
      <c r="A50" s="152"/>
      <c r="B50" s="152"/>
      <c r="C50" s="136"/>
      <c r="D50" s="136"/>
      <c r="E50" s="157"/>
      <c r="F50" s="139"/>
      <c r="G50" s="158"/>
      <c r="H50" s="135"/>
      <c r="I50" s="154">
        <f t="shared" ref="I50" si="5">IFERROR(((F50-G50)/H50)/12,0)</f>
        <v>0</v>
      </c>
      <c r="J50" s="224"/>
      <c r="L50" s="88"/>
    </row>
    <row r="51" spans="1:16">
      <c r="A51" s="137"/>
      <c r="B51" s="137"/>
      <c r="C51" s="137"/>
      <c r="D51" s="137"/>
      <c r="E51" s="141"/>
      <c r="F51" s="142"/>
      <c r="G51" s="142"/>
      <c r="H51" s="143"/>
      <c r="I51" s="328">
        <f>IFERROR(((F51-G51)/H51)/12,0)</f>
        <v>0</v>
      </c>
      <c r="J51" s="143"/>
    </row>
    <row r="52" spans="1:16">
      <c r="A52" s="137"/>
      <c r="B52" s="137"/>
      <c r="C52" s="137"/>
      <c r="D52" s="137"/>
      <c r="E52" s="141"/>
      <c r="F52" s="142"/>
      <c r="G52" s="142"/>
      <c r="H52" s="143"/>
      <c r="I52" s="328">
        <f>IFERROR(((F52-G52)/H52)/12,0)</f>
        <v>0</v>
      </c>
      <c r="J52" s="143"/>
    </row>
    <row r="53" spans="1:16">
      <c r="A53" s="97"/>
      <c r="B53" s="97"/>
      <c r="C53" s="97"/>
      <c r="D53" s="98"/>
      <c r="E53" s="99"/>
      <c r="F53" s="92"/>
      <c r="G53" s="92"/>
      <c r="H53" s="100"/>
      <c r="I53" s="101"/>
    </row>
    <row r="54" spans="1:16">
      <c r="E54" s="78" t="s">
        <v>162</v>
      </c>
      <c r="F54" s="94">
        <f>SUM(F51:F52)</f>
        <v>0</v>
      </c>
      <c r="H54" s="80" t="s">
        <v>79</v>
      </c>
      <c r="I54" s="79">
        <f>SUM(I39:I52)</f>
        <v>4711.7248333333337</v>
      </c>
    </row>
    <row r="55" spans="1:16">
      <c r="E55" s="78" t="s">
        <v>24</v>
      </c>
      <c r="F55" s="79">
        <f>SUM(F39:F50)</f>
        <v>1125969.48</v>
      </c>
      <c r="H55" s="80" t="s">
        <v>80</v>
      </c>
      <c r="I55" s="79">
        <f>I54*12</f>
        <v>56540.698000000004</v>
      </c>
    </row>
    <row r="56" spans="1:16" ht="21.75" thickBot="1">
      <c r="E56" s="78" t="s">
        <v>81</v>
      </c>
      <c r="F56" s="96">
        <f>SUM(F54:F55)</f>
        <v>1125969.48</v>
      </c>
      <c r="O56" s="84" t="s">
        <v>18</v>
      </c>
    </row>
    <row r="57" spans="1:16" ht="21.75" thickTop="1">
      <c r="N57" s="81" t="s">
        <v>24</v>
      </c>
      <c r="O57" s="89">
        <f>O5+O39</f>
        <v>1694561.16</v>
      </c>
      <c r="P57" s="90">
        <f>O57/O60</f>
        <v>1</v>
      </c>
    </row>
    <row r="58" spans="1:16">
      <c r="N58" s="81" t="s">
        <v>25</v>
      </c>
      <c r="O58" s="89">
        <f>O6+O40</f>
        <v>0</v>
      </c>
      <c r="P58" s="90">
        <f>O58/O60</f>
        <v>0</v>
      </c>
    </row>
    <row r="59" spans="1:16">
      <c r="N59" s="81" t="s">
        <v>26</v>
      </c>
      <c r="O59" s="89">
        <f>O7+O41</f>
        <v>0</v>
      </c>
      <c r="P59" s="90">
        <f>O59/O60</f>
        <v>0</v>
      </c>
    </row>
    <row r="60" spans="1:16" ht="21.75" thickBot="1">
      <c r="O60" s="103">
        <f>SUM(O57:O59)</f>
        <v>1694561.16</v>
      </c>
    </row>
    <row r="61" spans="1:16" ht="42.75" thickTop="1">
      <c r="H61" s="102" t="s">
        <v>163</v>
      </c>
      <c r="I61" s="79">
        <f>I55+I34</f>
        <v>99985.637428571441</v>
      </c>
    </row>
  </sheetData>
  <sortState xmlns:xlrd2="http://schemas.microsoft.com/office/spreadsheetml/2017/richdata2" ref="A53:I56">
    <sortCondition ref="A53:A56"/>
    <sortCondition ref="G53:G56"/>
  </sortState>
  <mergeCells count="2">
    <mergeCell ref="A3:I3"/>
    <mergeCell ref="A37:I37"/>
  </mergeCells>
  <phoneticPr fontId="7" type="noConversion"/>
  <pageMargins left="0.7" right="0.7" top="0.75" bottom="0.75" header="0.3" footer="0.3"/>
  <pageSetup scale="77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  <pageSetUpPr fitToPage="1"/>
  </sheetPr>
  <dimension ref="A1:P65"/>
  <sheetViews>
    <sheetView zoomScale="70" zoomScaleNormal="70" workbookViewId="0">
      <selection activeCell="L33" sqref="L33"/>
    </sheetView>
  </sheetViews>
  <sheetFormatPr defaultColWidth="41.140625" defaultRowHeight="21"/>
  <cols>
    <col min="1" max="1" width="15.85546875" style="78" bestFit="1" customWidth="1"/>
    <col min="2" max="2" width="19.28515625" style="78" bestFit="1" customWidth="1"/>
    <col min="3" max="3" width="58.85546875" style="78" bestFit="1" customWidth="1"/>
    <col min="4" max="4" width="29.7109375" style="78" bestFit="1" customWidth="1"/>
    <col min="5" max="5" width="19.5703125" style="78" bestFit="1" customWidth="1"/>
    <col min="6" max="7" width="21.140625" style="79" bestFit="1" customWidth="1"/>
    <col min="8" max="8" width="22.42578125" style="80" bestFit="1" customWidth="1"/>
    <col min="9" max="9" width="31.7109375" style="79" bestFit="1" customWidth="1"/>
    <col min="10" max="10" width="13.5703125" style="78" bestFit="1" customWidth="1"/>
    <col min="11" max="11" width="7.42578125" style="78" customWidth="1"/>
    <col min="12" max="12" width="27.7109375" style="78" bestFit="1" customWidth="1"/>
    <col min="13" max="13" width="6" style="78" customWidth="1"/>
    <col min="14" max="14" width="15.28515625" style="81" bestFit="1" customWidth="1"/>
    <col min="15" max="15" width="21.140625" style="81" bestFit="1" customWidth="1"/>
    <col min="16" max="16" width="11" style="81" bestFit="1" customWidth="1"/>
    <col min="17" max="16384" width="41.140625" style="78"/>
  </cols>
  <sheetData>
    <row r="1" spans="1:16">
      <c r="A1" s="16" t="s">
        <v>208</v>
      </c>
      <c r="B1" s="16"/>
    </row>
    <row r="3" spans="1:16">
      <c r="A3" s="333" t="s">
        <v>28</v>
      </c>
      <c r="B3" s="333"/>
      <c r="C3" s="333"/>
      <c r="D3" s="333"/>
      <c r="E3" s="333"/>
      <c r="F3" s="333"/>
      <c r="G3" s="333"/>
      <c r="H3" s="333"/>
      <c r="I3" s="333"/>
    </row>
    <row r="4" spans="1:16">
      <c r="A4" s="82" t="s">
        <v>29</v>
      </c>
      <c r="B4" s="82" t="s">
        <v>30</v>
      </c>
      <c r="C4" s="82" t="s">
        <v>31</v>
      </c>
      <c r="D4" s="82" t="s">
        <v>32</v>
      </c>
      <c r="E4" s="82" t="s">
        <v>33</v>
      </c>
      <c r="F4" s="83" t="s">
        <v>34</v>
      </c>
      <c r="G4" s="83" t="s">
        <v>35</v>
      </c>
      <c r="H4" s="82" t="s">
        <v>36</v>
      </c>
      <c r="I4" s="83" t="s">
        <v>37</v>
      </c>
      <c r="L4" s="210" t="s">
        <v>38</v>
      </c>
      <c r="O4" s="84" t="s">
        <v>18</v>
      </c>
    </row>
    <row r="5" spans="1:16">
      <c r="A5" s="131"/>
      <c r="B5" s="131"/>
      <c r="C5" s="131"/>
      <c r="D5" s="131"/>
      <c r="E5" s="138"/>
      <c r="F5" s="139"/>
      <c r="G5" s="139"/>
      <c r="H5" s="140"/>
      <c r="I5" s="223">
        <f t="shared" ref="I5:I22" si="0">IFERROR(((F5-G5)/H5)/12,0)</f>
        <v>0</v>
      </c>
      <c r="L5" s="189"/>
      <c r="N5" s="81" t="s">
        <v>24</v>
      </c>
      <c r="O5" s="89">
        <f>SUMIF(B5:B23,"*EQUIPMENT*",F5:F23)</f>
        <v>0</v>
      </c>
      <c r="P5" s="90" t="e">
        <f>O5/O9</f>
        <v>#DIV/0!</v>
      </c>
    </row>
    <row r="6" spans="1:16">
      <c r="A6" s="131"/>
      <c r="B6" s="131"/>
      <c r="C6" s="131"/>
      <c r="D6" s="131"/>
      <c r="E6" s="138"/>
      <c r="F6" s="139"/>
      <c r="G6" s="139"/>
      <c r="H6" s="140"/>
      <c r="I6" s="223">
        <f t="shared" si="0"/>
        <v>0</v>
      </c>
      <c r="L6" s="189"/>
      <c r="N6" s="81" t="s">
        <v>25</v>
      </c>
      <c r="O6" s="89">
        <f>SUMIF(B5:B23,"*VEHICLE*",F5:F23)</f>
        <v>0</v>
      </c>
      <c r="P6" s="90" t="e">
        <f>O6/O9</f>
        <v>#DIV/0!</v>
      </c>
    </row>
    <row r="7" spans="1:16">
      <c r="A7" s="132"/>
      <c r="B7" s="132"/>
      <c r="C7" s="132"/>
      <c r="D7" s="131"/>
      <c r="E7" s="138"/>
      <c r="F7" s="139"/>
      <c r="G7" s="139"/>
      <c r="H7" s="140"/>
      <c r="I7" s="223">
        <f t="shared" si="0"/>
        <v>0</v>
      </c>
      <c r="L7" s="189"/>
      <c r="N7" s="81" t="s">
        <v>26</v>
      </c>
      <c r="O7" s="89">
        <f>SUMIF(B5:B23,"*TRAILER*",F5:F23)</f>
        <v>0</v>
      </c>
      <c r="P7" s="90" t="e">
        <f>O7/O9</f>
        <v>#DIV/0!</v>
      </c>
    </row>
    <row r="8" spans="1:16">
      <c r="A8" s="131"/>
      <c r="B8" s="131"/>
      <c r="C8" s="131"/>
      <c r="D8" s="131"/>
      <c r="E8" s="133"/>
      <c r="F8" s="139"/>
      <c r="G8" s="134"/>
      <c r="H8" s="135"/>
      <c r="I8" s="223">
        <f t="shared" si="0"/>
        <v>0</v>
      </c>
      <c r="L8" s="189"/>
    </row>
    <row r="9" spans="1:16">
      <c r="A9" s="131"/>
      <c r="B9" s="131"/>
      <c r="C9" s="131"/>
      <c r="D9" s="131"/>
      <c r="E9" s="133"/>
      <c r="F9" s="139"/>
      <c r="G9" s="134"/>
      <c r="H9" s="135"/>
      <c r="I9" s="223">
        <f t="shared" si="0"/>
        <v>0</v>
      </c>
      <c r="L9" s="189"/>
      <c r="O9" s="93">
        <f>SUM(O5:O8)</f>
        <v>0</v>
      </c>
    </row>
    <row r="10" spans="1:16">
      <c r="A10" s="131"/>
      <c r="B10" s="131"/>
      <c r="C10" s="131"/>
      <c r="D10" s="131"/>
      <c r="E10" s="133"/>
      <c r="F10" s="139"/>
      <c r="G10" s="134"/>
      <c r="H10" s="135"/>
      <c r="I10" s="223">
        <f t="shared" si="0"/>
        <v>0</v>
      </c>
      <c r="L10" s="189"/>
      <c r="O10" s="89">
        <f>O9-F29</f>
        <v>0</v>
      </c>
    </row>
    <row r="11" spans="1:16">
      <c r="A11" s="131"/>
      <c r="B11" s="131"/>
      <c r="C11" s="131"/>
      <c r="D11" s="131"/>
      <c r="E11" s="133"/>
      <c r="F11" s="139"/>
      <c r="G11" s="134"/>
      <c r="H11" s="135"/>
      <c r="I11" s="223">
        <f t="shared" si="0"/>
        <v>0</v>
      </c>
      <c r="L11" s="189"/>
    </row>
    <row r="12" spans="1:16">
      <c r="A12" s="131"/>
      <c r="B12" s="131"/>
      <c r="C12" s="131"/>
      <c r="D12" s="131"/>
      <c r="E12" s="133"/>
      <c r="F12" s="139"/>
      <c r="G12" s="134"/>
      <c r="H12" s="135"/>
      <c r="I12" s="223">
        <f t="shared" si="0"/>
        <v>0</v>
      </c>
      <c r="L12" s="189"/>
    </row>
    <row r="13" spans="1:16">
      <c r="A13" s="131"/>
      <c r="B13" s="131"/>
      <c r="C13" s="131"/>
      <c r="D13" s="131"/>
      <c r="E13" s="133"/>
      <c r="F13" s="139"/>
      <c r="G13" s="134"/>
      <c r="H13" s="135"/>
      <c r="I13" s="223">
        <f t="shared" si="0"/>
        <v>0</v>
      </c>
      <c r="L13" s="189"/>
    </row>
    <row r="14" spans="1:16">
      <c r="A14" s="131"/>
      <c r="B14" s="131"/>
      <c r="C14" s="131"/>
      <c r="D14" s="131"/>
      <c r="E14" s="133"/>
      <c r="F14" s="139"/>
      <c r="G14" s="134"/>
      <c r="H14" s="135"/>
      <c r="I14" s="223">
        <f t="shared" si="0"/>
        <v>0</v>
      </c>
      <c r="L14" s="189"/>
    </row>
    <row r="15" spans="1:16">
      <c r="A15" s="131"/>
      <c r="B15" s="131"/>
      <c r="C15" s="131"/>
      <c r="D15" s="131"/>
      <c r="E15" s="133"/>
      <c r="F15" s="139"/>
      <c r="G15" s="134"/>
      <c r="H15" s="135"/>
      <c r="I15" s="223">
        <f t="shared" si="0"/>
        <v>0</v>
      </c>
      <c r="L15" s="189"/>
    </row>
    <row r="16" spans="1:16">
      <c r="A16" s="131"/>
      <c r="B16" s="131"/>
      <c r="C16" s="131"/>
      <c r="D16" s="131"/>
      <c r="E16" s="133"/>
      <c r="F16" s="139"/>
      <c r="G16" s="134"/>
      <c r="H16" s="135"/>
      <c r="I16" s="223">
        <f t="shared" si="0"/>
        <v>0</v>
      </c>
      <c r="L16" s="189"/>
    </row>
    <row r="17" spans="1:12">
      <c r="A17" s="131"/>
      <c r="B17" s="131"/>
      <c r="C17" s="131"/>
      <c r="D17" s="131"/>
      <c r="E17" s="133"/>
      <c r="F17" s="139"/>
      <c r="G17" s="134"/>
      <c r="H17" s="135"/>
      <c r="I17" s="223">
        <f t="shared" si="0"/>
        <v>0</v>
      </c>
      <c r="L17" s="189"/>
    </row>
    <row r="18" spans="1:12">
      <c r="A18" s="131"/>
      <c r="B18" s="131"/>
      <c r="C18" s="131"/>
      <c r="D18" s="131"/>
      <c r="E18" s="133"/>
      <c r="F18" s="139"/>
      <c r="G18" s="134"/>
      <c r="H18" s="135"/>
      <c r="I18" s="223">
        <f t="shared" si="0"/>
        <v>0</v>
      </c>
      <c r="L18" s="189"/>
    </row>
    <row r="19" spans="1:12">
      <c r="A19" s="131"/>
      <c r="B19" s="131"/>
      <c r="C19" s="131"/>
      <c r="D19" s="131"/>
      <c r="E19" s="133"/>
      <c r="F19" s="139"/>
      <c r="G19" s="134"/>
      <c r="H19" s="135"/>
      <c r="I19" s="223">
        <f t="shared" si="0"/>
        <v>0</v>
      </c>
      <c r="L19" s="189"/>
    </row>
    <row r="20" spans="1:12">
      <c r="A20" s="131"/>
      <c r="B20" s="131"/>
      <c r="C20" s="131"/>
      <c r="D20" s="131"/>
      <c r="E20" s="133"/>
      <c r="F20" s="139"/>
      <c r="G20" s="134"/>
      <c r="H20" s="135"/>
      <c r="I20" s="223">
        <f t="shared" si="0"/>
        <v>0</v>
      </c>
      <c r="L20" s="189"/>
    </row>
    <row r="21" spans="1:12">
      <c r="A21" s="131"/>
      <c r="B21" s="131"/>
      <c r="C21" s="131"/>
      <c r="D21" s="131"/>
      <c r="E21" s="133"/>
      <c r="F21" s="139"/>
      <c r="G21" s="134"/>
      <c r="H21" s="135"/>
      <c r="I21" s="223">
        <f t="shared" si="0"/>
        <v>0</v>
      </c>
      <c r="L21" s="189"/>
    </row>
    <row r="22" spans="1:12">
      <c r="A22" s="131"/>
      <c r="B22" s="131"/>
      <c r="C22" s="131"/>
      <c r="D22" s="131"/>
      <c r="E22" s="133"/>
      <c r="F22" s="139"/>
      <c r="G22" s="134"/>
      <c r="H22" s="135"/>
      <c r="I22" s="223">
        <f t="shared" si="0"/>
        <v>0</v>
      </c>
      <c r="L22" s="189"/>
    </row>
    <row r="23" spans="1:12">
      <c r="A23" s="131"/>
      <c r="B23" s="131"/>
      <c r="C23" s="131"/>
      <c r="D23" s="131"/>
      <c r="E23" s="133"/>
      <c r="F23" s="139"/>
      <c r="G23" s="134"/>
      <c r="H23" s="135"/>
      <c r="I23" s="223">
        <f t="shared" ref="I23" si="1">IFERROR(((F23-G23)/H23)/12,0)</f>
        <v>0</v>
      </c>
      <c r="L23" s="189"/>
    </row>
    <row r="24" spans="1:12">
      <c r="A24" s="137"/>
      <c r="B24" s="137"/>
      <c r="C24" s="137"/>
      <c r="D24" s="137"/>
      <c r="E24" s="141"/>
      <c r="F24" s="142"/>
      <c r="G24" s="142"/>
      <c r="H24" s="143"/>
      <c r="I24" s="234">
        <f>IFERROR(((F24-G24)/H24)/12,0)</f>
        <v>0</v>
      </c>
      <c r="L24" s="189"/>
    </row>
    <row r="25" spans="1:12">
      <c r="A25" s="137"/>
      <c r="B25" s="137"/>
      <c r="C25" s="137"/>
      <c r="D25" s="137"/>
      <c r="E25" s="141"/>
      <c r="F25" s="142"/>
      <c r="G25" s="142"/>
      <c r="H25" s="143"/>
      <c r="I25" s="234">
        <f t="shared" ref="I25:I26" si="2">IFERROR(((F25-G25)/H25)/12,0)</f>
        <v>0</v>
      </c>
      <c r="L25" s="189"/>
    </row>
    <row r="26" spans="1:12">
      <c r="A26" s="137"/>
      <c r="B26" s="137"/>
      <c r="C26" s="137"/>
      <c r="D26" s="137"/>
      <c r="E26" s="141"/>
      <c r="F26" s="142"/>
      <c r="G26" s="142"/>
      <c r="H26" s="143"/>
      <c r="I26" s="234">
        <f t="shared" si="2"/>
        <v>0</v>
      </c>
      <c r="L26" s="189"/>
    </row>
    <row r="27" spans="1:12">
      <c r="A27" s="87"/>
      <c r="B27" s="87"/>
      <c r="C27" s="87"/>
      <c r="D27" s="87"/>
      <c r="E27" s="91"/>
      <c r="F27" s="86"/>
      <c r="G27" s="86"/>
      <c r="H27" s="85"/>
      <c r="I27" s="86"/>
    </row>
    <row r="28" spans="1:12">
      <c r="E28" s="78" t="s">
        <v>162</v>
      </c>
      <c r="F28" s="94">
        <f>SUM(F24:F26)</f>
        <v>0</v>
      </c>
      <c r="H28" s="105" t="s">
        <v>79</v>
      </c>
      <c r="I28" s="94">
        <f>SUM(I5:I26)</f>
        <v>0</v>
      </c>
    </row>
    <row r="29" spans="1:12">
      <c r="C29" s="78" t="s">
        <v>209</v>
      </c>
      <c r="E29" s="78" t="s">
        <v>24</v>
      </c>
      <c r="F29" s="79">
        <f>SUM(F5:F23)</f>
        <v>0</v>
      </c>
      <c r="H29" s="80" t="s">
        <v>80</v>
      </c>
      <c r="I29" s="79">
        <f>I28*12</f>
        <v>0</v>
      </c>
    </row>
    <row r="30" spans="1:12" ht="21.75" thickBot="1">
      <c r="E30" s="78" t="s">
        <v>81</v>
      </c>
      <c r="F30" s="96">
        <f>SUM(F28:F29)</f>
        <v>0</v>
      </c>
    </row>
    <row r="31" spans="1:12" ht="21.75" thickTop="1"/>
    <row r="32" spans="1:12">
      <c r="A32" s="333" t="s">
        <v>82</v>
      </c>
      <c r="B32" s="333"/>
      <c r="C32" s="333"/>
      <c r="D32" s="333"/>
      <c r="E32" s="333"/>
      <c r="F32" s="333"/>
      <c r="G32" s="333"/>
      <c r="H32" s="333"/>
      <c r="I32" s="333"/>
    </row>
    <row r="33" spans="1:16">
      <c r="A33" s="82" t="s">
        <v>29</v>
      </c>
      <c r="B33" s="82" t="s">
        <v>30</v>
      </c>
      <c r="C33" s="82" t="s">
        <v>31</v>
      </c>
      <c r="D33" s="82" t="s">
        <v>32</v>
      </c>
      <c r="E33" s="82" t="s">
        <v>33</v>
      </c>
      <c r="F33" s="83" t="s">
        <v>34</v>
      </c>
      <c r="G33" s="83" t="s">
        <v>35</v>
      </c>
      <c r="H33" s="82" t="s">
        <v>36</v>
      </c>
      <c r="I33" s="83" t="s">
        <v>37</v>
      </c>
      <c r="J33" s="83" t="s">
        <v>83</v>
      </c>
      <c r="L33" s="210" t="s">
        <v>38</v>
      </c>
      <c r="O33" s="84" t="s">
        <v>18</v>
      </c>
    </row>
    <row r="34" spans="1:16">
      <c r="A34" s="131"/>
      <c r="B34" s="131"/>
      <c r="C34" s="131"/>
      <c r="D34" s="131"/>
      <c r="E34" s="133"/>
      <c r="F34" s="139"/>
      <c r="G34" s="134"/>
      <c r="H34" s="135"/>
      <c r="I34" s="223">
        <f t="shared" ref="I34:I49" si="3">IFERROR(((F34-G34)/H34)/12,0)</f>
        <v>0</v>
      </c>
      <c r="L34" s="189"/>
      <c r="N34" s="81" t="s">
        <v>24</v>
      </c>
      <c r="O34" s="89">
        <f>SUMIF(B34:B50,"*EQUIPMENT*",F34:F50)</f>
        <v>0</v>
      </c>
      <c r="P34" s="90" t="e">
        <f>O34/O38</f>
        <v>#DIV/0!</v>
      </c>
    </row>
    <row r="35" spans="1:16">
      <c r="A35" s="131"/>
      <c r="B35" s="131"/>
      <c r="C35" s="131"/>
      <c r="D35" s="131"/>
      <c r="E35" s="133"/>
      <c r="F35" s="139"/>
      <c r="G35" s="134"/>
      <c r="H35" s="135"/>
      <c r="I35" s="223">
        <f t="shared" si="3"/>
        <v>0</v>
      </c>
      <c r="L35" s="189"/>
      <c r="N35" s="81" t="s">
        <v>25</v>
      </c>
      <c r="O35" s="89">
        <f>SUMIF(B34:B50,"*VEHICLE*",F34:F50)</f>
        <v>0</v>
      </c>
      <c r="P35" s="90" t="e">
        <f>O35/O38</f>
        <v>#DIV/0!</v>
      </c>
    </row>
    <row r="36" spans="1:16">
      <c r="A36" s="131"/>
      <c r="B36" s="131"/>
      <c r="C36" s="131"/>
      <c r="D36" s="131"/>
      <c r="E36" s="133"/>
      <c r="F36" s="139"/>
      <c r="G36" s="134"/>
      <c r="H36" s="135"/>
      <c r="I36" s="223">
        <f t="shared" si="3"/>
        <v>0</v>
      </c>
      <c r="L36" s="189"/>
      <c r="N36" s="81" t="s">
        <v>26</v>
      </c>
      <c r="O36" s="89">
        <f>SUMIF(B34:B50,"*TRAILER*",F34:F50)</f>
        <v>0</v>
      </c>
      <c r="P36" s="90" t="e">
        <f>O36/O38</f>
        <v>#DIV/0!</v>
      </c>
    </row>
    <row r="37" spans="1:16">
      <c r="A37" s="131"/>
      <c r="B37" s="131"/>
      <c r="C37" s="131"/>
      <c r="D37" s="131"/>
      <c r="E37" s="133"/>
      <c r="F37" s="139"/>
      <c r="G37" s="134"/>
      <c r="H37" s="135"/>
      <c r="I37" s="223">
        <f t="shared" si="3"/>
        <v>0</v>
      </c>
      <c r="L37" s="189"/>
      <c r="O37" s="295"/>
      <c r="P37" s="90"/>
    </row>
    <row r="38" spans="1:16">
      <c r="A38" s="131"/>
      <c r="B38" s="131"/>
      <c r="C38" s="131"/>
      <c r="D38" s="131"/>
      <c r="E38" s="133"/>
      <c r="F38" s="139"/>
      <c r="G38" s="134"/>
      <c r="H38" s="135"/>
      <c r="I38" s="223">
        <f t="shared" si="3"/>
        <v>0</v>
      </c>
      <c r="L38" s="189"/>
      <c r="O38" s="89">
        <f>SUM(O34:O37)</f>
        <v>0</v>
      </c>
      <c r="P38" s="90"/>
    </row>
    <row r="39" spans="1:16">
      <c r="A39" s="131"/>
      <c r="B39" s="131"/>
      <c r="C39" s="131"/>
      <c r="D39" s="131"/>
      <c r="E39" s="133"/>
      <c r="F39" s="139"/>
      <c r="G39" s="134"/>
      <c r="H39" s="135"/>
      <c r="I39" s="223">
        <f t="shared" si="3"/>
        <v>0</v>
      </c>
      <c r="L39" s="189"/>
      <c r="O39" s="89">
        <f>O38-F55</f>
        <v>0</v>
      </c>
    </row>
    <row r="40" spans="1:16">
      <c r="A40" s="131"/>
      <c r="B40" s="131"/>
      <c r="C40" s="131"/>
      <c r="D40" s="131"/>
      <c r="E40" s="133"/>
      <c r="F40" s="139"/>
      <c r="G40" s="134"/>
      <c r="H40" s="135"/>
      <c r="I40" s="223">
        <f t="shared" si="3"/>
        <v>0</v>
      </c>
      <c r="L40" s="189"/>
    </row>
    <row r="41" spans="1:16">
      <c r="A41" s="131"/>
      <c r="B41" s="131"/>
      <c r="C41" s="131"/>
      <c r="D41" s="131"/>
      <c r="E41" s="133"/>
      <c r="F41" s="139"/>
      <c r="G41" s="134"/>
      <c r="H41" s="135"/>
      <c r="I41" s="223">
        <f t="shared" si="3"/>
        <v>0</v>
      </c>
      <c r="L41" s="189"/>
    </row>
    <row r="42" spans="1:16">
      <c r="A42" s="131"/>
      <c r="B42" s="131"/>
      <c r="C42" s="131"/>
      <c r="D42" s="131"/>
      <c r="E42" s="133"/>
      <c r="F42" s="139"/>
      <c r="G42" s="134"/>
      <c r="H42" s="135"/>
      <c r="I42" s="223">
        <f t="shared" si="3"/>
        <v>0</v>
      </c>
      <c r="L42" s="189"/>
    </row>
    <row r="43" spans="1:16">
      <c r="A43" s="131"/>
      <c r="B43" s="131"/>
      <c r="C43" s="131"/>
      <c r="D43" s="131"/>
      <c r="E43" s="133"/>
      <c r="F43" s="139"/>
      <c r="G43" s="134"/>
      <c r="H43" s="135"/>
      <c r="I43" s="223">
        <f t="shared" si="3"/>
        <v>0</v>
      </c>
      <c r="L43" s="189"/>
    </row>
    <row r="44" spans="1:16">
      <c r="A44" s="131"/>
      <c r="B44" s="131"/>
      <c r="C44" s="131"/>
      <c r="D44" s="131"/>
      <c r="E44" s="133"/>
      <c r="F44" s="139"/>
      <c r="G44" s="134"/>
      <c r="H44" s="135"/>
      <c r="I44" s="223">
        <f t="shared" si="3"/>
        <v>0</v>
      </c>
      <c r="L44" s="189"/>
    </row>
    <row r="45" spans="1:16">
      <c r="A45" s="131"/>
      <c r="B45" s="131"/>
      <c r="C45" s="131"/>
      <c r="D45" s="131"/>
      <c r="E45" s="133"/>
      <c r="F45" s="139"/>
      <c r="G45" s="134"/>
      <c r="H45" s="135"/>
      <c r="I45" s="223">
        <f t="shared" si="3"/>
        <v>0</v>
      </c>
      <c r="L45" s="189"/>
    </row>
    <row r="46" spans="1:16">
      <c r="A46" s="131"/>
      <c r="B46" s="131"/>
      <c r="C46" s="131"/>
      <c r="D46" s="131"/>
      <c r="E46" s="133"/>
      <c r="F46" s="139"/>
      <c r="G46" s="134"/>
      <c r="H46" s="135"/>
      <c r="I46" s="223">
        <f t="shared" si="3"/>
        <v>0</v>
      </c>
      <c r="L46" s="189"/>
    </row>
    <row r="47" spans="1:16">
      <c r="A47" s="131"/>
      <c r="B47" s="131"/>
      <c r="C47" s="131"/>
      <c r="D47" s="131"/>
      <c r="E47" s="133"/>
      <c r="F47" s="139"/>
      <c r="G47" s="134"/>
      <c r="H47" s="135"/>
      <c r="I47" s="223">
        <f t="shared" si="3"/>
        <v>0</v>
      </c>
      <c r="L47" s="189"/>
    </row>
    <row r="48" spans="1:16">
      <c r="A48" s="131"/>
      <c r="B48" s="131"/>
      <c r="C48" s="131"/>
      <c r="D48" s="131"/>
      <c r="E48" s="133"/>
      <c r="F48" s="139"/>
      <c r="G48" s="134"/>
      <c r="H48" s="135"/>
      <c r="I48" s="223">
        <f t="shared" si="3"/>
        <v>0</v>
      </c>
      <c r="L48" s="189"/>
    </row>
    <row r="49" spans="1:16">
      <c r="A49" s="131"/>
      <c r="B49" s="131"/>
      <c r="C49" s="131"/>
      <c r="D49" s="131"/>
      <c r="E49" s="133"/>
      <c r="F49" s="139"/>
      <c r="G49" s="134"/>
      <c r="H49" s="135"/>
      <c r="I49" s="223">
        <f t="shared" si="3"/>
        <v>0</v>
      </c>
      <c r="L49" s="189"/>
    </row>
    <row r="50" spans="1:16">
      <c r="A50" s="131"/>
      <c r="B50" s="131"/>
      <c r="C50" s="131"/>
      <c r="D50" s="131"/>
      <c r="E50" s="133"/>
      <c r="F50" s="139"/>
      <c r="G50" s="134"/>
      <c r="H50" s="135"/>
      <c r="I50" s="223">
        <f t="shared" ref="I50" si="4">IFERROR(((F50-G50)/H50)/12,0)</f>
        <v>0</v>
      </c>
      <c r="L50" s="189"/>
    </row>
    <row r="51" spans="1:16">
      <c r="A51" s="137"/>
      <c r="B51" s="137"/>
      <c r="C51" s="137"/>
      <c r="D51" s="137"/>
      <c r="E51" s="137"/>
      <c r="F51" s="137"/>
      <c r="G51" s="137"/>
      <c r="H51" s="137"/>
      <c r="I51" s="234">
        <f>IFERROR(((F51-G51)/H51)/12,0)</f>
        <v>0</v>
      </c>
    </row>
    <row r="52" spans="1:16">
      <c r="A52" s="137"/>
      <c r="B52" s="137"/>
      <c r="C52" s="137"/>
      <c r="D52" s="137"/>
      <c r="E52" s="137"/>
      <c r="F52" s="137"/>
      <c r="G52" s="137"/>
      <c r="H52" s="137"/>
      <c r="I52" s="234">
        <f>IFERROR(((F52-G52)/H52)/12,0)</f>
        <v>0</v>
      </c>
    </row>
    <row r="53" spans="1:16">
      <c r="D53" s="106"/>
      <c r="E53" s="104"/>
    </row>
    <row r="54" spans="1:16" s="87" customFormat="1">
      <c r="A54" s="78"/>
      <c r="B54" s="78"/>
      <c r="C54" s="78"/>
      <c r="D54" s="78"/>
      <c r="E54" s="78" t="s">
        <v>162</v>
      </c>
      <c r="F54" s="94"/>
      <c r="G54" s="79"/>
      <c r="H54" s="105" t="s">
        <v>79</v>
      </c>
      <c r="I54" s="94">
        <f>SUM(I34:I53)</f>
        <v>0</v>
      </c>
      <c r="J54" s="78"/>
      <c r="K54" s="78"/>
      <c r="L54" s="78"/>
      <c r="N54" s="107"/>
      <c r="O54" s="107"/>
      <c r="P54" s="107"/>
    </row>
    <row r="55" spans="1:16" s="87" customFormat="1">
      <c r="A55" s="78"/>
      <c r="B55" s="78"/>
      <c r="C55" s="78"/>
      <c r="D55" s="78"/>
      <c r="E55" s="78" t="s">
        <v>24</v>
      </c>
      <c r="F55" s="79">
        <f>SUM(F34:F50)</f>
        <v>0</v>
      </c>
      <c r="G55" s="79"/>
      <c r="H55" s="80" t="s">
        <v>80</v>
      </c>
      <c r="I55" s="79">
        <f>I54*12</f>
        <v>0</v>
      </c>
      <c r="J55" s="78"/>
      <c r="K55" s="78"/>
      <c r="L55" s="78"/>
      <c r="N55" s="107"/>
      <c r="O55" s="107"/>
      <c r="P55" s="107"/>
    </row>
    <row r="56" spans="1:16" s="87" customFormat="1" ht="21.75" thickBot="1">
      <c r="A56" s="78"/>
      <c r="B56" s="78"/>
      <c r="C56" s="78"/>
      <c r="D56" s="78"/>
      <c r="E56" s="78" t="s">
        <v>81</v>
      </c>
      <c r="F56" s="96">
        <f>SUM(F54:F55)</f>
        <v>0</v>
      </c>
      <c r="G56" s="79"/>
      <c r="H56" s="80"/>
      <c r="I56" s="79"/>
      <c r="J56" s="78"/>
      <c r="K56" s="78"/>
      <c r="L56" s="78"/>
      <c r="N56" s="107"/>
      <c r="O56" s="107"/>
      <c r="P56" s="107"/>
    </row>
    <row r="57" spans="1:16" s="87" customFormat="1" ht="21.75" thickTop="1">
      <c r="A57" s="78"/>
      <c r="B57" s="78"/>
      <c r="C57" s="78"/>
      <c r="D57" s="78"/>
      <c r="E57" s="78"/>
      <c r="F57" s="79"/>
      <c r="G57" s="79"/>
      <c r="H57" s="80"/>
      <c r="I57" s="79"/>
      <c r="J57" s="78"/>
      <c r="K57" s="78"/>
      <c r="L57" s="78"/>
      <c r="N57" s="107"/>
      <c r="O57" s="107"/>
      <c r="P57" s="107"/>
    </row>
    <row r="59" spans="1:16">
      <c r="H59" s="102" t="s">
        <v>163</v>
      </c>
      <c r="I59" s="79">
        <f>I29+I55</f>
        <v>0</v>
      </c>
    </row>
    <row r="60" spans="1:16">
      <c r="O60" s="84" t="s">
        <v>18</v>
      </c>
    </row>
    <row r="61" spans="1:16">
      <c r="N61" s="81" t="s">
        <v>24</v>
      </c>
      <c r="O61" s="89">
        <f>O5+O34</f>
        <v>0</v>
      </c>
      <c r="P61" s="90" t="e">
        <f>O61/O64</f>
        <v>#DIV/0!</v>
      </c>
    </row>
    <row r="62" spans="1:16">
      <c r="N62" s="81" t="s">
        <v>25</v>
      </c>
      <c r="O62" s="89">
        <f>O6+O35</f>
        <v>0</v>
      </c>
      <c r="P62" s="90" t="e">
        <f>O62/O64</f>
        <v>#DIV/0!</v>
      </c>
    </row>
    <row r="63" spans="1:16">
      <c r="N63" s="81" t="s">
        <v>26</v>
      </c>
      <c r="O63" s="89">
        <f>O7+O36</f>
        <v>0</v>
      </c>
    </row>
    <row r="64" spans="1:16" ht="21.75" thickBot="1">
      <c r="O64" s="103">
        <f>SUM(O61:O63)</f>
        <v>0</v>
      </c>
    </row>
    <row r="65" ht="21.75" thickTop="1"/>
  </sheetData>
  <mergeCells count="2">
    <mergeCell ref="A3:I3"/>
    <mergeCell ref="A32:I32"/>
  </mergeCells>
  <phoneticPr fontId="7" type="noConversion"/>
  <pageMargins left="0.7" right="0.7" top="0.75" bottom="0.75" header="0.3" footer="0.3"/>
  <pageSetup scale="88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7030A0"/>
    <pageSetUpPr fitToPage="1"/>
  </sheetPr>
  <dimension ref="A1:S77"/>
  <sheetViews>
    <sheetView topLeftCell="A4" zoomScale="70" zoomScaleNormal="70" workbookViewId="0">
      <selection activeCell="L26" sqref="L26"/>
    </sheetView>
  </sheetViews>
  <sheetFormatPr defaultColWidth="9.140625" defaultRowHeight="21"/>
  <cols>
    <col min="1" max="1" width="15.85546875" style="78" bestFit="1" customWidth="1"/>
    <col min="2" max="2" width="19.28515625" style="78" bestFit="1" customWidth="1"/>
    <col min="3" max="3" width="55.85546875" style="78" bestFit="1" customWidth="1"/>
    <col min="4" max="4" width="29.28515625" style="78" bestFit="1" customWidth="1"/>
    <col min="5" max="5" width="19.5703125" style="78" bestFit="1" customWidth="1"/>
    <col min="6" max="6" width="21.140625" style="79" bestFit="1" customWidth="1"/>
    <col min="7" max="7" width="18.85546875" style="79" bestFit="1" customWidth="1"/>
    <col min="8" max="8" width="20.140625" style="80" bestFit="1" customWidth="1"/>
    <col min="9" max="9" width="31.7109375" style="79" bestFit="1" customWidth="1"/>
    <col min="10" max="10" width="13.5703125" style="78" bestFit="1" customWidth="1"/>
    <col min="11" max="11" width="9.140625" style="78"/>
    <col min="12" max="12" width="24" style="78" customWidth="1"/>
    <col min="13" max="13" width="9.140625" style="78"/>
    <col min="14" max="14" width="15.28515625" style="81" bestFit="1" customWidth="1"/>
    <col min="15" max="15" width="21.140625" style="81" bestFit="1" customWidth="1"/>
    <col min="16" max="16" width="11" style="81" bestFit="1" customWidth="1"/>
    <col min="17" max="18" width="9.140625" style="78"/>
    <col min="19" max="19" width="13.140625" style="78" bestFit="1" customWidth="1"/>
    <col min="20" max="16384" width="9.140625" style="78"/>
  </cols>
  <sheetData>
    <row r="1" spans="1:16">
      <c r="A1" s="16" t="s">
        <v>210</v>
      </c>
      <c r="B1" s="16"/>
    </row>
    <row r="3" spans="1:16">
      <c r="A3" s="333" t="s">
        <v>28</v>
      </c>
      <c r="B3" s="333"/>
      <c r="C3" s="333"/>
      <c r="D3" s="333"/>
      <c r="E3" s="333"/>
      <c r="F3" s="333"/>
      <c r="G3" s="333"/>
      <c r="H3" s="333"/>
      <c r="I3" s="333"/>
    </row>
    <row r="4" spans="1:16">
      <c r="A4" s="82" t="s">
        <v>29</v>
      </c>
      <c r="B4" s="82" t="s">
        <v>30</v>
      </c>
      <c r="C4" s="82" t="s">
        <v>31</v>
      </c>
      <c r="D4" s="82" t="s">
        <v>32</v>
      </c>
      <c r="E4" s="82" t="s">
        <v>33</v>
      </c>
      <c r="F4" s="83" t="s">
        <v>34</v>
      </c>
      <c r="G4" s="83" t="s">
        <v>35</v>
      </c>
      <c r="H4" s="82" t="s">
        <v>36</v>
      </c>
      <c r="I4" s="83" t="s">
        <v>37</v>
      </c>
      <c r="L4" s="210" t="s">
        <v>38</v>
      </c>
      <c r="O4" s="84" t="s">
        <v>18</v>
      </c>
    </row>
    <row r="5" spans="1:16">
      <c r="A5" s="131"/>
      <c r="B5" s="131"/>
      <c r="C5" s="132"/>
      <c r="D5" s="132"/>
      <c r="E5" s="133"/>
      <c r="F5" s="193"/>
      <c r="G5" s="134"/>
      <c r="H5" s="135"/>
      <c r="I5" s="223">
        <f t="shared" ref="I5:I15" si="0">IFERROR(((F5-G5)/H5)/12,0)</f>
        <v>0</v>
      </c>
      <c r="L5" s="189"/>
      <c r="N5" s="81" t="s">
        <v>24</v>
      </c>
      <c r="O5" s="89">
        <f>SUMIF(B5:B16,"*EQUIPMENT*",F5:F16)</f>
        <v>0</v>
      </c>
      <c r="P5" s="90" t="e">
        <f>O5/O8</f>
        <v>#DIV/0!</v>
      </c>
    </row>
    <row r="6" spans="1:16">
      <c r="A6" s="132"/>
      <c r="B6" s="132"/>
      <c r="C6" s="132"/>
      <c r="D6" s="132"/>
      <c r="E6" s="133"/>
      <c r="F6" s="193"/>
      <c r="G6" s="134"/>
      <c r="H6" s="135"/>
      <c r="I6" s="223">
        <f t="shared" si="0"/>
        <v>0</v>
      </c>
      <c r="L6" s="189"/>
      <c r="N6" s="81" t="s">
        <v>25</v>
      </c>
      <c r="O6" s="89">
        <f>SUMIF(B5:B16,"*VEHICLE*",F5:F16)</f>
        <v>0</v>
      </c>
      <c r="P6" s="90" t="e">
        <f>O6/O8</f>
        <v>#DIV/0!</v>
      </c>
    </row>
    <row r="7" spans="1:16">
      <c r="A7" s="131"/>
      <c r="B7" s="131"/>
      <c r="C7" s="132"/>
      <c r="D7" s="132"/>
      <c r="E7" s="133"/>
      <c r="F7" s="193"/>
      <c r="G7" s="134"/>
      <c r="H7" s="135"/>
      <c r="I7" s="223">
        <f t="shared" si="0"/>
        <v>0</v>
      </c>
      <c r="L7" s="189"/>
      <c r="N7" s="81" t="s">
        <v>26</v>
      </c>
      <c r="O7" s="89">
        <f>SUMIF(B5:B16,"*TRAILER*",F5:F16)</f>
        <v>0</v>
      </c>
      <c r="P7" s="90" t="e">
        <f>O7/O8</f>
        <v>#DIV/0!</v>
      </c>
    </row>
    <row r="8" spans="1:16">
      <c r="A8" s="132"/>
      <c r="B8" s="132"/>
      <c r="C8" s="132"/>
      <c r="D8" s="132"/>
      <c r="E8" s="133"/>
      <c r="F8" s="193"/>
      <c r="G8" s="134"/>
      <c r="H8" s="135"/>
      <c r="I8" s="223">
        <f t="shared" si="0"/>
        <v>0</v>
      </c>
      <c r="L8" s="189"/>
      <c r="O8" s="163">
        <f>SUM(O5:O7)</f>
        <v>0</v>
      </c>
    </row>
    <row r="9" spans="1:16">
      <c r="A9" s="131"/>
      <c r="B9" s="131"/>
      <c r="C9" s="132"/>
      <c r="D9" s="132"/>
      <c r="E9" s="133"/>
      <c r="F9" s="193"/>
      <c r="G9" s="134"/>
      <c r="H9" s="135"/>
      <c r="I9" s="223">
        <f t="shared" si="0"/>
        <v>0</v>
      </c>
      <c r="L9" s="189"/>
      <c r="O9" s="190">
        <f>O8-F22</f>
        <v>0</v>
      </c>
    </row>
    <row r="10" spans="1:16">
      <c r="A10" s="132"/>
      <c r="B10" s="132"/>
      <c r="C10" s="132"/>
      <c r="D10" s="132"/>
      <c r="E10" s="133"/>
      <c r="F10" s="193"/>
      <c r="G10" s="134"/>
      <c r="H10" s="135"/>
      <c r="I10" s="223">
        <f t="shared" si="0"/>
        <v>0</v>
      </c>
      <c r="L10" s="189"/>
    </row>
    <row r="11" spans="1:16">
      <c r="A11" s="131"/>
      <c r="B11" s="131"/>
      <c r="C11" s="132"/>
      <c r="D11" s="132"/>
      <c r="E11" s="133"/>
      <c r="F11" s="196"/>
      <c r="G11" s="134"/>
      <c r="H11" s="135"/>
      <c r="I11" s="223">
        <f t="shared" si="0"/>
        <v>0</v>
      </c>
      <c r="L11" s="189"/>
    </row>
    <row r="12" spans="1:16">
      <c r="A12" s="132"/>
      <c r="B12" s="132"/>
      <c r="C12" s="132"/>
      <c r="D12" s="132"/>
      <c r="E12" s="133"/>
      <c r="F12" s="196"/>
      <c r="G12" s="134"/>
      <c r="H12" s="135"/>
      <c r="I12" s="223">
        <f t="shared" si="0"/>
        <v>0</v>
      </c>
      <c r="L12" s="189"/>
    </row>
    <row r="13" spans="1:16">
      <c r="A13" s="131"/>
      <c r="B13" s="131"/>
      <c r="C13" s="132"/>
      <c r="D13" s="132"/>
      <c r="E13" s="133"/>
      <c r="F13" s="196"/>
      <c r="G13" s="134"/>
      <c r="H13" s="135"/>
      <c r="I13" s="223">
        <f t="shared" si="0"/>
        <v>0</v>
      </c>
      <c r="L13" s="189"/>
    </row>
    <row r="14" spans="1:16">
      <c r="A14" s="132"/>
      <c r="B14" s="132"/>
      <c r="C14" s="132"/>
      <c r="D14" s="132"/>
      <c r="E14" s="133"/>
      <c r="F14" s="196"/>
      <c r="G14" s="134"/>
      <c r="H14" s="135"/>
      <c r="I14" s="223">
        <f t="shared" si="0"/>
        <v>0</v>
      </c>
      <c r="L14" s="189"/>
    </row>
    <row r="15" spans="1:16">
      <c r="A15" s="131"/>
      <c r="B15" s="131"/>
      <c r="C15" s="132"/>
      <c r="D15" s="132"/>
      <c r="E15" s="133"/>
      <c r="F15" s="196"/>
      <c r="G15" s="134"/>
      <c r="H15" s="135"/>
      <c r="I15" s="223">
        <f t="shared" si="0"/>
        <v>0</v>
      </c>
      <c r="L15" s="189"/>
    </row>
    <row r="16" spans="1:16">
      <c r="A16" s="132"/>
      <c r="B16" s="132"/>
      <c r="C16" s="132"/>
      <c r="D16" s="132"/>
      <c r="E16" s="133"/>
      <c r="F16" s="196"/>
      <c r="G16" s="134"/>
      <c r="H16" s="135"/>
      <c r="I16" s="223">
        <f t="shared" ref="I16" si="1">IFERROR(((F16-G16)/H16)/12,0)</f>
        <v>0</v>
      </c>
      <c r="L16" s="189"/>
    </row>
    <row r="17" spans="1:19">
      <c r="A17" s="137"/>
      <c r="B17" s="137"/>
      <c r="C17" s="137"/>
      <c r="D17" s="137"/>
      <c r="E17" s="141"/>
      <c r="F17" s="197"/>
      <c r="G17" s="142"/>
      <c r="H17" s="143"/>
      <c r="I17" s="234">
        <f>IFERROR(((F17-G17)/H17)/12,0)</f>
        <v>0</v>
      </c>
      <c r="L17" s="189"/>
    </row>
    <row r="18" spans="1:19">
      <c r="A18" s="137"/>
      <c r="B18" s="137"/>
      <c r="C18" s="137"/>
      <c r="D18" s="137"/>
      <c r="E18" s="141"/>
      <c r="F18" s="197"/>
      <c r="G18" s="142"/>
      <c r="H18" s="143"/>
      <c r="I18" s="234">
        <f t="shared" ref="I18:I19" si="2">IFERROR(((F18-G18)/H18)/12,0)</f>
        <v>0</v>
      </c>
      <c r="L18" s="189"/>
    </row>
    <row r="19" spans="1:19">
      <c r="A19" s="137"/>
      <c r="B19" s="137"/>
      <c r="C19" s="137"/>
      <c r="D19" s="137"/>
      <c r="E19" s="141"/>
      <c r="F19" s="195"/>
      <c r="G19" s="142"/>
      <c r="H19" s="143"/>
      <c r="I19" s="234">
        <f t="shared" si="2"/>
        <v>0</v>
      </c>
    </row>
    <row r="21" spans="1:19">
      <c r="E21" s="78" t="s">
        <v>162</v>
      </c>
      <c r="F21" s="94">
        <f>SUM(F17:F19)</f>
        <v>0</v>
      </c>
      <c r="H21" s="105" t="s">
        <v>79</v>
      </c>
      <c r="I21" s="94">
        <f>SUM(I5:I20)</f>
        <v>0</v>
      </c>
    </row>
    <row r="22" spans="1:19">
      <c r="E22" s="78" t="s">
        <v>24</v>
      </c>
      <c r="F22" s="79">
        <f>SUM(F5:F16)</f>
        <v>0</v>
      </c>
      <c r="H22" s="80" t="s">
        <v>80</v>
      </c>
      <c r="I22" s="79">
        <f>I21*12</f>
        <v>0</v>
      </c>
    </row>
    <row r="23" spans="1:19" ht="21.75" thickBot="1">
      <c r="E23" s="78" t="s">
        <v>81</v>
      </c>
      <c r="F23" s="96">
        <f>SUM(F21:F22)</f>
        <v>0</v>
      </c>
    </row>
    <row r="24" spans="1:19" ht="21.75" thickTop="1"/>
    <row r="25" spans="1:19">
      <c r="A25" s="333" t="s">
        <v>82</v>
      </c>
      <c r="B25" s="333"/>
      <c r="C25" s="333"/>
      <c r="D25" s="333"/>
      <c r="E25" s="333"/>
      <c r="F25" s="333"/>
      <c r="G25" s="333"/>
      <c r="H25" s="333"/>
      <c r="I25" s="333"/>
    </row>
    <row r="26" spans="1:19" s="87" customFormat="1">
      <c r="A26" s="82" t="s">
        <v>29</v>
      </c>
      <c r="B26" s="82" t="s">
        <v>30</v>
      </c>
      <c r="C26" s="82" t="s">
        <v>31</v>
      </c>
      <c r="D26" s="82" t="s">
        <v>32</v>
      </c>
      <c r="E26" s="82" t="s">
        <v>33</v>
      </c>
      <c r="F26" s="83" t="s">
        <v>34</v>
      </c>
      <c r="G26" s="83" t="s">
        <v>35</v>
      </c>
      <c r="H26" s="82" t="s">
        <v>36</v>
      </c>
      <c r="I26" s="83" t="s">
        <v>37</v>
      </c>
      <c r="J26" s="83" t="s">
        <v>83</v>
      </c>
      <c r="K26" s="78"/>
      <c r="L26" s="210" t="s">
        <v>38</v>
      </c>
    </row>
    <row r="27" spans="1:19" s="87" customFormat="1">
      <c r="A27" s="131"/>
      <c r="B27" s="131"/>
      <c r="C27" s="131"/>
      <c r="D27" s="131"/>
      <c r="E27" s="138"/>
      <c r="F27" s="193"/>
      <c r="G27" s="139"/>
      <c r="H27" s="140"/>
      <c r="I27" s="223">
        <f t="shared" ref="I27:I67" si="3">IFERROR(((F27-G27)/H27)/12,0)</f>
        <v>0</v>
      </c>
      <c r="L27" s="189"/>
    </row>
    <row r="28" spans="1:19" s="87" customFormat="1">
      <c r="A28" s="131"/>
      <c r="B28" s="131"/>
      <c r="C28" s="131"/>
      <c r="D28" s="131"/>
      <c r="E28" s="138"/>
      <c r="F28" s="193"/>
      <c r="G28" s="139"/>
      <c r="H28" s="140"/>
      <c r="I28" s="223">
        <f t="shared" si="3"/>
        <v>0</v>
      </c>
      <c r="L28" s="189"/>
      <c r="S28" s="86"/>
    </row>
    <row r="29" spans="1:19" s="87" customFormat="1">
      <c r="A29" s="131"/>
      <c r="B29" s="131"/>
      <c r="C29" s="131"/>
      <c r="D29" s="131"/>
      <c r="E29" s="138"/>
      <c r="F29" s="194"/>
      <c r="G29" s="139"/>
      <c r="H29" s="140"/>
      <c r="I29" s="223">
        <f t="shared" si="3"/>
        <v>0</v>
      </c>
      <c r="L29" s="191"/>
    </row>
    <row r="30" spans="1:19" s="87" customFormat="1">
      <c r="A30" s="131"/>
      <c r="B30" s="131"/>
      <c r="C30" s="131"/>
      <c r="D30" s="131"/>
      <c r="E30" s="138"/>
      <c r="F30" s="194"/>
      <c r="G30" s="139"/>
      <c r="H30" s="140"/>
      <c r="I30" s="223">
        <f t="shared" si="3"/>
        <v>0</v>
      </c>
      <c r="L30" s="191"/>
      <c r="N30" s="107"/>
      <c r="O30" s="107"/>
      <c r="P30" s="107"/>
    </row>
    <row r="31" spans="1:19" s="87" customFormat="1">
      <c r="A31" s="131"/>
      <c r="B31" s="131"/>
      <c r="C31" s="131"/>
      <c r="D31" s="131"/>
      <c r="E31" s="138"/>
      <c r="F31" s="194"/>
      <c r="G31" s="139"/>
      <c r="H31" s="140"/>
      <c r="I31" s="223">
        <f t="shared" si="3"/>
        <v>0</v>
      </c>
      <c r="L31" s="191"/>
      <c r="N31" s="107"/>
      <c r="O31" s="107"/>
      <c r="P31" s="107"/>
    </row>
    <row r="32" spans="1:19" s="87" customFormat="1">
      <c r="A32" s="131"/>
      <c r="B32" s="131"/>
      <c r="C32" s="131"/>
      <c r="D32" s="131"/>
      <c r="E32" s="138"/>
      <c r="F32" s="194"/>
      <c r="G32" s="139"/>
      <c r="H32" s="140"/>
      <c r="I32" s="223">
        <f t="shared" si="3"/>
        <v>0</v>
      </c>
      <c r="L32" s="191"/>
      <c r="N32" s="107"/>
      <c r="O32" s="107"/>
      <c r="P32" s="107"/>
    </row>
    <row r="33" spans="1:16" s="87" customFormat="1">
      <c r="A33" s="131"/>
      <c r="B33" s="131"/>
      <c r="C33" s="131"/>
      <c r="D33" s="131"/>
      <c r="E33" s="138"/>
      <c r="F33" s="194"/>
      <c r="G33" s="139"/>
      <c r="H33" s="140"/>
      <c r="I33" s="223">
        <f t="shared" si="3"/>
        <v>0</v>
      </c>
      <c r="L33" s="191"/>
      <c r="N33" s="107"/>
      <c r="O33" s="107"/>
      <c r="P33" s="107"/>
    </row>
    <row r="34" spans="1:16" s="87" customFormat="1">
      <c r="A34" s="131"/>
      <c r="B34" s="131"/>
      <c r="C34" s="131"/>
      <c r="D34" s="131"/>
      <c r="E34" s="138"/>
      <c r="F34" s="193"/>
      <c r="G34" s="139"/>
      <c r="H34" s="140"/>
      <c r="I34" s="223">
        <f t="shared" si="3"/>
        <v>0</v>
      </c>
      <c r="L34" s="189"/>
      <c r="N34" s="107"/>
      <c r="O34" s="107"/>
      <c r="P34" s="107"/>
    </row>
    <row r="35" spans="1:16" s="87" customFormat="1">
      <c r="A35" s="131"/>
      <c r="B35" s="131"/>
      <c r="C35" s="131"/>
      <c r="D35" s="131"/>
      <c r="E35" s="138"/>
      <c r="F35" s="193"/>
      <c r="G35" s="139"/>
      <c r="H35" s="140"/>
      <c r="I35" s="223">
        <f t="shared" si="3"/>
        <v>0</v>
      </c>
      <c r="L35" s="189"/>
      <c r="N35" s="107"/>
      <c r="O35" s="107"/>
      <c r="P35" s="107"/>
    </row>
    <row r="36" spans="1:16" s="87" customFormat="1">
      <c r="A36" s="131"/>
      <c r="B36" s="131"/>
      <c r="C36" s="131"/>
      <c r="D36" s="131"/>
      <c r="E36" s="138"/>
      <c r="F36" s="193"/>
      <c r="G36" s="139"/>
      <c r="H36" s="140"/>
      <c r="I36" s="223">
        <f t="shared" si="3"/>
        <v>0</v>
      </c>
      <c r="L36" s="189"/>
      <c r="N36" s="107"/>
      <c r="O36" s="107"/>
      <c r="P36" s="107"/>
    </row>
    <row r="37" spans="1:16" s="87" customFormat="1">
      <c r="A37" s="131"/>
      <c r="B37" s="131"/>
      <c r="C37" s="131"/>
      <c r="D37" s="131"/>
      <c r="E37" s="138"/>
      <c r="F37" s="193"/>
      <c r="G37" s="139"/>
      <c r="H37" s="140"/>
      <c r="I37" s="223">
        <f t="shared" si="3"/>
        <v>0</v>
      </c>
      <c r="L37" s="189"/>
      <c r="N37" s="107"/>
      <c r="O37" s="107"/>
      <c r="P37" s="107"/>
    </row>
    <row r="38" spans="1:16">
      <c r="A38" s="131"/>
      <c r="B38" s="131"/>
      <c r="C38" s="131"/>
      <c r="D38" s="131"/>
      <c r="E38" s="138"/>
      <c r="F38" s="193"/>
      <c r="G38" s="139"/>
      <c r="H38" s="140"/>
      <c r="I38" s="223">
        <f t="shared" si="3"/>
        <v>0</v>
      </c>
      <c r="J38" s="87"/>
      <c r="K38" s="87"/>
      <c r="L38" s="189"/>
      <c r="N38" s="81" t="s">
        <v>24</v>
      </c>
      <c r="O38" s="89">
        <f>SUMIF(B27:B68,"*EQUIPMENT*",F27:F68)</f>
        <v>0</v>
      </c>
      <c r="P38" s="90" t="e">
        <f>O38/O42</f>
        <v>#DIV/0!</v>
      </c>
    </row>
    <row r="39" spans="1:16">
      <c r="A39" s="131"/>
      <c r="B39" s="131"/>
      <c r="C39" s="131"/>
      <c r="D39" s="131"/>
      <c r="E39" s="138"/>
      <c r="F39" s="193"/>
      <c r="G39" s="139"/>
      <c r="H39" s="140"/>
      <c r="I39" s="223">
        <f t="shared" si="3"/>
        <v>0</v>
      </c>
      <c r="J39" s="87"/>
      <c r="K39" s="87"/>
      <c r="L39" s="189"/>
      <c r="N39" s="81" t="s">
        <v>25</v>
      </c>
      <c r="O39" s="89">
        <f>SUMIF(B27:B68,"*VEHCILE*",F27:F68)</f>
        <v>0</v>
      </c>
      <c r="P39" s="90" t="e">
        <f>O39/O42</f>
        <v>#DIV/0!</v>
      </c>
    </row>
    <row r="40" spans="1:16">
      <c r="A40" s="131"/>
      <c r="B40" s="131"/>
      <c r="C40" s="131"/>
      <c r="D40" s="131"/>
      <c r="E40" s="138"/>
      <c r="F40" s="193"/>
      <c r="G40" s="139"/>
      <c r="H40" s="140"/>
      <c r="I40" s="223">
        <f t="shared" si="3"/>
        <v>0</v>
      </c>
      <c r="J40" s="87"/>
      <c r="K40" s="87"/>
      <c r="L40" s="189"/>
      <c r="N40" s="81" t="s">
        <v>26</v>
      </c>
      <c r="O40" s="89">
        <f>SUMIF(B27:B68,"*TRAILER*",F27:F68)</f>
        <v>0</v>
      </c>
      <c r="P40" s="90" t="e">
        <f>O40/O42</f>
        <v>#DIV/0!</v>
      </c>
    </row>
    <row r="41" spans="1:16">
      <c r="A41" s="131"/>
      <c r="B41" s="131"/>
      <c r="C41" s="131"/>
      <c r="D41" s="131"/>
      <c r="E41" s="138"/>
      <c r="F41" s="193"/>
      <c r="G41" s="139"/>
      <c r="H41" s="140"/>
      <c r="I41" s="223">
        <f t="shared" si="3"/>
        <v>0</v>
      </c>
      <c r="J41" s="87"/>
      <c r="K41" s="87"/>
      <c r="L41" s="189"/>
    </row>
    <row r="42" spans="1:16">
      <c r="A42" s="131"/>
      <c r="B42" s="131"/>
      <c r="C42" s="131"/>
      <c r="D42" s="131"/>
      <c r="E42" s="138"/>
      <c r="F42" s="193"/>
      <c r="G42" s="139"/>
      <c r="H42" s="140"/>
      <c r="I42" s="223">
        <f t="shared" si="3"/>
        <v>0</v>
      </c>
      <c r="J42" s="87"/>
      <c r="K42" s="87"/>
      <c r="L42" s="189"/>
      <c r="O42" s="93">
        <f>SUM(O38:O41)</f>
        <v>0</v>
      </c>
    </row>
    <row r="43" spans="1:16">
      <c r="A43" s="131"/>
      <c r="B43" s="131"/>
      <c r="C43" s="131"/>
      <c r="D43" s="131"/>
      <c r="E43" s="138"/>
      <c r="F43" s="193"/>
      <c r="G43" s="139"/>
      <c r="H43" s="140"/>
      <c r="I43" s="223">
        <f t="shared" si="3"/>
        <v>0</v>
      </c>
      <c r="J43" s="87"/>
      <c r="K43" s="87"/>
      <c r="L43" s="189"/>
      <c r="O43" s="89">
        <f>O42-F73</f>
        <v>0</v>
      </c>
    </row>
    <row r="44" spans="1:16">
      <c r="A44" s="131"/>
      <c r="B44" s="131"/>
      <c r="C44" s="131"/>
      <c r="D44" s="131"/>
      <c r="E44" s="138"/>
      <c r="F44" s="193"/>
      <c r="G44" s="139"/>
      <c r="H44" s="140"/>
      <c r="I44" s="223">
        <f t="shared" si="3"/>
        <v>0</v>
      </c>
      <c r="J44" s="87"/>
      <c r="K44" s="87"/>
      <c r="L44" s="189"/>
    </row>
    <row r="45" spans="1:16">
      <c r="A45" s="131"/>
      <c r="B45" s="131"/>
      <c r="C45" s="131"/>
      <c r="D45" s="131"/>
      <c r="E45" s="138"/>
      <c r="F45" s="193"/>
      <c r="G45" s="139"/>
      <c r="H45" s="140"/>
      <c r="I45" s="223">
        <f t="shared" si="3"/>
        <v>0</v>
      </c>
      <c r="J45" s="87"/>
      <c r="K45" s="87"/>
      <c r="L45" s="189"/>
    </row>
    <row r="46" spans="1:16">
      <c r="A46" s="131"/>
      <c r="B46" s="131"/>
      <c r="C46" s="131"/>
      <c r="D46" s="131"/>
      <c r="E46" s="138"/>
      <c r="F46" s="193"/>
      <c r="G46" s="139"/>
      <c r="H46" s="140"/>
      <c r="I46" s="223">
        <f t="shared" si="3"/>
        <v>0</v>
      </c>
      <c r="J46" s="87"/>
      <c r="K46" s="87"/>
      <c r="L46" s="189"/>
    </row>
    <row r="47" spans="1:16">
      <c r="A47" s="131"/>
      <c r="B47" s="131"/>
      <c r="C47" s="131"/>
      <c r="D47" s="131"/>
      <c r="E47" s="138"/>
      <c r="F47" s="193"/>
      <c r="G47" s="139"/>
      <c r="H47" s="140"/>
      <c r="I47" s="223">
        <f t="shared" si="3"/>
        <v>0</v>
      </c>
      <c r="J47" s="87"/>
      <c r="K47" s="87"/>
      <c r="L47" s="189"/>
    </row>
    <row r="48" spans="1:16">
      <c r="A48" s="131"/>
      <c r="B48" s="131"/>
      <c r="C48" s="131"/>
      <c r="D48" s="131"/>
      <c r="E48" s="138"/>
      <c r="F48" s="193"/>
      <c r="G48" s="139"/>
      <c r="H48" s="140"/>
      <c r="I48" s="223">
        <f t="shared" si="3"/>
        <v>0</v>
      </c>
      <c r="J48" s="87"/>
      <c r="K48" s="87"/>
      <c r="L48" s="189"/>
    </row>
    <row r="49" spans="1:12">
      <c r="A49" s="131"/>
      <c r="B49" s="131"/>
      <c r="C49" s="131"/>
      <c r="D49" s="131"/>
      <c r="E49" s="138"/>
      <c r="F49" s="193"/>
      <c r="G49" s="139"/>
      <c r="H49" s="140"/>
      <c r="I49" s="223">
        <f t="shared" si="3"/>
        <v>0</v>
      </c>
      <c r="J49" s="87"/>
      <c r="K49" s="87"/>
      <c r="L49" s="189"/>
    </row>
    <row r="50" spans="1:12">
      <c r="A50" s="131"/>
      <c r="B50" s="131"/>
      <c r="C50" s="131"/>
      <c r="D50" s="131"/>
      <c r="E50" s="138"/>
      <c r="F50" s="193"/>
      <c r="G50" s="139"/>
      <c r="H50" s="140"/>
      <c r="I50" s="223">
        <f t="shared" si="3"/>
        <v>0</v>
      </c>
      <c r="J50" s="87"/>
      <c r="K50" s="87"/>
      <c r="L50" s="189"/>
    </row>
    <row r="51" spans="1:12">
      <c r="A51" s="131"/>
      <c r="B51" s="131"/>
      <c r="C51" s="131"/>
      <c r="D51" s="131"/>
      <c r="E51" s="138"/>
      <c r="F51" s="193"/>
      <c r="G51" s="139"/>
      <c r="H51" s="140"/>
      <c r="I51" s="223">
        <f t="shared" si="3"/>
        <v>0</v>
      </c>
      <c r="J51" s="87"/>
      <c r="K51" s="87"/>
      <c r="L51" s="189"/>
    </row>
    <row r="52" spans="1:12">
      <c r="A52" s="131"/>
      <c r="B52" s="131"/>
      <c r="C52" s="131"/>
      <c r="D52" s="131"/>
      <c r="E52" s="138"/>
      <c r="F52" s="193"/>
      <c r="G52" s="139"/>
      <c r="H52" s="140"/>
      <c r="I52" s="223">
        <f t="shared" si="3"/>
        <v>0</v>
      </c>
      <c r="J52" s="87"/>
      <c r="K52" s="87"/>
      <c r="L52" s="189"/>
    </row>
    <row r="53" spans="1:12">
      <c r="A53" s="131"/>
      <c r="B53" s="131"/>
      <c r="C53" s="131"/>
      <c r="D53" s="131"/>
      <c r="E53" s="138"/>
      <c r="F53" s="193"/>
      <c r="G53" s="139"/>
      <c r="H53" s="140"/>
      <c r="I53" s="223">
        <f t="shared" si="3"/>
        <v>0</v>
      </c>
      <c r="J53" s="87"/>
      <c r="K53" s="87"/>
      <c r="L53" s="189"/>
    </row>
    <row r="54" spans="1:12">
      <c r="A54" s="131"/>
      <c r="B54" s="131"/>
      <c r="C54" s="131"/>
      <c r="D54" s="131"/>
      <c r="E54" s="138"/>
      <c r="F54" s="193"/>
      <c r="G54" s="139"/>
      <c r="H54" s="140"/>
      <c r="I54" s="223">
        <f t="shared" si="3"/>
        <v>0</v>
      </c>
      <c r="J54" s="87"/>
      <c r="K54" s="87"/>
      <c r="L54" s="189"/>
    </row>
    <row r="55" spans="1:12">
      <c r="A55" s="131"/>
      <c r="B55" s="131"/>
      <c r="C55" s="131"/>
      <c r="D55" s="131"/>
      <c r="E55" s="138"/>
      <c r="F55" s="193"/>
      <c r="G55" s="139"/>
      <c r="H55" s="140"/>
      <c r="I55" s="223">
        <f t="shared" si="3"/>
        <v>0</v>
      </c>
      <c r="J55" s="87"/>
      <c r="K55" s="87"/>
      <c r="L55" s="189"/>
    </row>
    <row r="56" spans="1:12">
      <c r="A56" s="131"/>
      <c r="B56" s="131"/>
      <c r="C56" s="131"/>
      <c r="D56" s="131"/>
      <c r="E56" s="138"/>
      <c r="F56" s="193"/>
      <c r="G56" s="139"/>
      <c r="H56" s="140"/>
      <c r="I56" s="223">
        <f t="shared" si="3"/>
        <v>0</v>
      </c>
      <c r="J56" s="87"/>
      <c r="K56" s="87"/>
      <c r="L56" s="189"/>
    </row>
    <row r="57" spans="1:12">
      <c r="A57" s="131"/>
      <c r="B57" s="131"/>
      <c r="C57" s="131"/>
      <c r="D57" s="131"/>
      <c r="E57" s="138"/>
      <c r="F57" s="193"/>
      <c r="G57" s="139"/>
      <c r="H57" s="140"/>
      <c r="I57" s="223">
        <f t="shared" si="3"/>
        <v>0</v>
      </c>
      <c r="J57" s="87"/>
      <c r="K57" s="87"/>
      <c r="L57" s="189"/>
    </row>
    <row r="58" spans="1:12">
      <c r="A58" s="131"/>
      <c r="B58" s="131"/>
      <c r="C58" s="131"/>
      <c r="D58" s="131"/>
      <c r="E58" s="138"/>
      <c r="F58" s="193"/>
      <c r="G58" s="139"/>
      <c r="H58" s="140"/>
      <c r="I58" s="223">
        <f t="shared" si="3"/>
        <v>0</v>
      </c>
      <c r="J58" s="87"/>
      <c r="K58" s="87"/>
      <c r="L58" s="189"/>
    </row>
    <row r="59" spans="1:12">
      <c r="A59" s="131"/>
      <c r="B59" s="131"/>
      <c r="C59" s="131"/>
      <c r="D59" s="131"/>
      <c r="E59" s="138"/>
      <c r="F59" s="193"/>
      <c r="G59" s="139"/>
      <c r="H59" s="140"/>
      <c r="I59" s="223">
        <f t="shared" si="3"/>
        <v>0</v>
      </c>
      <c r="J59" s="87"/>
      <c r="K59" s="87"/>
      <c r="L59" s="189"/>
    </row>
    <row r="60" spans="1:12">
      <c r="A60" s="131"/>
      <c r="B60" s="131"/>
      <c r="C60" s="131"/>
      <c r="D60" s="131"/>
      <c r="E60" s="138"/>
      <c r="F60" s="193"/>
      <c r="G60" s="139"/>
      <c r="H60" s="140"/>
      <c r="I60" s="223">
        <f t="shared" si="3"/>
        <v>0</v>
      </c>
      <c r="J60" s="87"/>
      <c r="K60" s="87"/>
      <c r="L60" s="189"/>
    </row>
    <row r="61" spans="1:12">
      <c r="A61" s="131"/>
      <c r="B61" s="131"/>
      <c r="C61" s="131"/>
      <c r="D61" s="131"/>
      <c r="E61" s="138"/>
      <c r="F61" s="193"/>
      <c r="G61" s="139"/>
      <c r="H61" s="140"/>
      <c r="I61" s="223">
        <f t="shared" si="3"/>
        <v>0</v>
      </c>
      <c r="J61" s="87"/>
      <c r="K61" s="87"/>
      <c r="L61" s="189"/>
    </row>
    <row r="62" spans="1:12">
      <c r="A62" s="131"/>
      <c r="B62" s="131"/>
      <c r="C62" s="131"/>
      <c r="D62" s="131"/>
      <c r="E62" s="138"/>
      <c r="F62" s="193"/>
      <c r="G62" s="139"/>
      <c r="H62" s="140"/>
      <c r="I62" s="223">
        <f t="shared" si="3"/>
        <v>0</v>
      </c>
      <c r="J62" s="87"/>
      <c r="K62" s="87"/>
      <c r="L62" s="189"/>
    </row>
    <row r="63" spans="1:12">
      <c r="A63" s="131"/>
      <c r="B63" s="131"/>
      <c r="C63" s="131"/>
      <c r="D63" s="131"/>
      <c r="E63" s="138"/>
      <c r="F63" s="193"/>
      <c r="G63" s="139"/>
      <c r="H63" s="140"/>
      <c r="I63" s="223">
        <f t="shared" si="3"/>
        <v>0</v>
      </c>
      <c r="J63" s="87"/>
      <c r="K63" s="87"/>
      <c r="L63" s="189"/>
    </row>
    <row r="64" spans="1:12">
      <c r="A64" s="131"/>
      <c r="B64" s="131"/>
      <c r="C64" s="131"/>
      <c r="D64" s="131"/>
      <c r="E64" s="138"/>
      <c r="F64" s="193"/>
      <c r="G64" s="139"/>
      <c r="H64" s="140"/>
      <c r="I64" s="223">
        <f t="shared" si="3"/>
        <v>0</v>
      </c>
      <c r="J64" s="87"/>
      <c r="K64" s="87"/>
      <c r="L64" s="189"/>
    </row>
    <row r="65" spans="1:16">
      <c r="A65" s="131"/>
      <c r="B65" s="131"/>
      <c r="C65" s="131"/>
      <c r="D65" s="131"/>
      <c r="E65" s="138"/>
      <c r="F65" s="193"/>
      <c r="G65" s="139"/>
      <c r="H65" s="140"/>
      <c r="I65" s="223">
        <f t="shared" si="3"/>
        <v>0</v>
      </c>
      <c r="J65" s="87"/>
      <c r="K65" s="87"/>
      <c r="L65" s="189"/>
    </row>
    <row r="66" spans="1:16">
      <c r="A66" s="131"/>
      <c r="B66" s="131"/>
      <c r="C66" s="131"/>
      <c r="D66" s="131"/>
      <c r="E66" s="138"/>
      <c r="F66" s="193"/>
      <c r="G66" s="139"/>
      <c r="H66" s="140"/>
      <c r="I66" s="223">
        <f t="shared" si="3"/>
        <v>0</v>
      </c>
      <c r="J66" s="87"/>
      <c r="K66" s="87"/>
      <c r="L66" s="189"/>
    </row>
    <row r="67" spans="1:16">
      <c r="A67" s="131"/>
      <c r="B67" s="131"/>
      <c r="C67" s="131"/>
      <c r="D67" s="131"/>
      <c r="E67" s="138"/>
      <c r="F67" s="193"/>
      <c r="G67" s="139"/>
      <c r="H67" s="140"/>
      <c r="I67" s="223">
        <f t="shared" si="3"/>
        <v>0</v>
      </c>
      <c r="J67" s="87"/>
      <c r="K67" s="87"/>
      <c r="L67" s="189"/>
      <c r="O67" s="84" t="s">
        <v>18</v>
      </c>
    </row>
    <row r="68" spans="1:16">
      <c r="A68" s="131"/>
      <c r="B68" s="131"/>
      <c r="C68" s="131"/>
      <c r="D68" s="131"/>
      <c r="E68" s="138"/>
      <c r="F68" s="194"/>
      <c r="G68" s="139"/>
      <c r="H68" s="140"/>
      <c r="I68" s="223">
        <f t="shared" ref="I68" si="4">IFERROR(((F68-G68)/H68)/12,0)</f>
        <v>0</v>
      </c>
      <c r="J68" s="87"/>
      <c r="K68" s="87"/>
      <c r="L68" s="87"/>
      <c r="N68" s="81" t="s">
        <v>24</v>
      </c>
      <c r="O68" s="89">
        <f>O5+O38</f>
        <v>0</v>
      </c>
      <c r="P68" s="121" t="e">
        <f>O68/O71</f>
        <v>#DIV/0!</v>
      </c>
    </row>
    <row r="69" spans="1:16">
      <c r="A69" s="137"/>
      <c r="B69" s="137"/>
      <c r="C69" s="137"/>
      <c r="D69" s="137"/>
      <c r="E69" s="141"/>
      <c r="F69" s="195"/>
      <c r="G69" s="142"/>
      <c r="H69" s="143"/>
      <c r="I69" s="234">
        <f>IFERROR(((F69-G69)/H69)/12,0)</f>
        <v>0</v>
      </c>
      <c r="J69" s="87"/>
      <c r="K69" s="87"/>
      <c r="L69" s="87"/>
      <c r="N69" s="81" t="s">
        <v>25</v>
      </c>
      <c r="O69" s="89">
        <f>O6+O39</f>
        <v>0</v>
      </c>
      <c r="P69" s="121" t="e">
        <f>O69/O71</f>
        <v>#DIV/0!</v>
      </c>
    </row>
    <row r="70" spans="1:16">
      <c r="A70" s="137"/>
      <c r="B70" s="137"/>
      <c r="C70" s="137"/>
      <c r="D70" s="137"/>
      <c r="E70" s="141"/>
      <c r="F70" s="195"/>
      <c r="G70" s="142"/>
      <c r="H70" s="143"/>
      <c r="I70" s="234">
        <f>IFERROR(((F70-G70)/H70)/12,0)</f>
        <v>0</v>
      </c>
      <c r="J70" s="87"/>
      <c r="K70" s="87"/>
      <c r="L70" s="87"/>
      <c r="N70" s="81" t="s">
        <v>26</v>
      </c>
      <c r="O70" s="89">
        <f>O7+O40</f>
        <v>0</v>
      </c>
      <c r="P70" s="121" t="e">
        <f>O70/O71</f>
        <v>#DIV/0!</v>
      </c>
    </row>
    <row r="71" spans="1:16">
      <c r="A71" s="87"/>
      <c r="B71" s="87"/>
      <c r="C71" s="87"/>
      <c r="D71" s="87"/>
      <c r="E71" s="91"/>
      <c r="F71" s="86"/>
      <c r="G71" s="86"/>
      <c r="H71" s="85"/>
      <c r="I71" s="86"/>
      <c r="J71" s="87"/>
      <c r="K71" s="87"/>
      <c r="L71" s="87"/>
      <c r="N71" s="107"/>
      <c r="O71" s="120">
        <f>SUM(O68:O70)</f>
        <v>0</v>
      </c>
      <c r="P71" s="107"/>
    </row>
    <row r="72" spans="1:16">
      <c r="E72" s="78" t="s">
        <v>162</v>
      </c>
      <c r="F72" s="94">
        <f>SUM(F69:F70)</f>
        <v>0</v>
      </c>
      <c r="H72" s="105" t="s">
        <v>79</v>
      </c>
      <c r="I72" s="94">
        <f>SUM(I27:I71)</f>
        <v>0</v>
      </c>
    </row>
    <row r="73" spans="1:16">
      <c r="E73" s="78" t="s">
        <v>24</v>
      </c>
      <c r="F73" s="79">
        <f>SUM(F27:F68)</f>
        <v>0</v>
      </c>
      <c r="H73" s="80" t="s">
        <v>80</v>
      </c>
      <c r="I73" s="79">
        <f>I72*12</f>
        <v>0</v>
      </c>
    </row>
    <row r="74" spans="1:16" ht="21.75" thickBot="1">
      <c r="E74" s="78" t="s">
        <v>81</v>
      </c>
      <c r="F74" s="96">
        <f>SUM(F72:F73)</f>
        <v>0</v>
      </c>
    </row>
    <row r="75" spans="1:16" ht="21.75" thickTop="1"/>
    <row r="77" spans="1:16" ht="42">
      <c r="H77" s="102" t="s">
        <v>163</v>
      </c>
      <c r="I77" s="79">
        <f>I22+I73</f>
        <v>0</v>
      </c>
    </row>
  </sheetData>
  <mergeCells count="2">
    <mergeCell ref="A3:I3"/>
    <mergeCell ref="A25:I25"/>
  </mergeCells>
  <phoneticPr fontId="7" type="noConversion"/>
  <pageMargins left="0.7" right="0.7" top="0.75" bottom="0.75" header="0.3" footer="0.3"/>
  <pageSetup scale="88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  <pageSetUpPr fitToPage="1"/>
  </sheetPr>
  <dimension ref="A1:L76"/>
  <sheetViews>
    <sheetView workbookViewId="0">
      <selection activeCell="C26" sqref="C26"/>
    </sheetView>
  </sheetViews>
  <sheetFormatPr defaultColWidth="9.140625" defaultRowHeight="15"/>
  <cols>
    <col min="1" max="1" width="13.7109375" bestFit="1" customWidth="1"/>
    <col min="2" max="2" width="44.140625" bestFit="1" customWidth="1"/>
    <col min="3" max="3" width="26.85546875" bestFit="1" customWidth="1"/>
    <col min="4" max="4" width="13.7109375" bestFit="1" customWidth="1"/>
    <col min="5" max="5" width="14.85546875" style="2" bestFit="1" customWidth="1"/>
    <col min="6" max="6" width="41.7109375" style="6" bestFit="1" customWidth="1"/>
    <col min="7" max="7" width="41.7109375" style="6" customWidth="1"/>
    <col min="8" max="8" width="23.28515625" style="2" bestFit="1" customWidth="1"/>
    <col min="9" max="9" width="24.5703125" bestFit="1" customWidth="1"/>
    <col min="10" max="10" width="17.5703125" bestFit="1" customWidth="1"/>
    <col min="12" max="12" width="10.7109375" bestFit="1" customWidth="1"/>
  </cols>
  <sheetData>
    <row r="1" spans="1:9" ht="21">
      <c r="A1" s="16">
        <v>2025</v>
      </c>
    </row>
    <row r="3" spans="1:9">
      <c r="A3" s="329" t="s">
        <v>28</v>
      </c>
      <c r="B3" s="329"/>
      <c r="C3" s="329"/>
      <c r="D3" s="329"/>
      <c r="E3" s="329"/>
      <c r="F3" s="329"/>
      <c r="G3" s="329"/>
      <c r="H3" s="329"/>
    </row>
    <row r="4" spans="1:9">
      <c r="A4" s="3" t="s">
        <v>29</v>
      </c>
      <c r="B4" s="3" t="s">
        <v>31</v>
      </c>
      <c r="C4" s="3" t="s">
        <v>32</v>
      </c>
      <c r="D4" s="3" t="s">
        <v>211</v>
      </c>
      <c r="E4" s="4" t="s">
        <v>212</v>
      </c>
      <c r="F4" s="4" t="s">
        <v>213</v>
      </c>
      <c r="G4" s="4" t="s">
        <v>214</v>
      </c>
      <c r="H4" s="4" t="s">
        <v>215</v>
      </c>
      <c r="I4" s="4" t="s">
        <v>216</v>
      </c>
    </row>
    <row r="5" spans="1:9">
      <c r="A5" s="278" t="s">
        <v>217</v>
      </c>
      <c r="B5" s="279" t="s">
        <v>218</v>
      </c>
      <c r="C5" s="280"/>
      <c r="D5" s="281">
        <v>45666</v>
      </c>
      <c r="E5" s="282">
        <v>19000</v>
      </c>
      <c r="F5" s="282" t="s">
        <v>219</v>
      </c>
      <c r="G5" s="283">
        <v>5292</v>
      </c>
      <c r="H5" s="279" t="s">
        <v>39</v>
      </c>
      <c r="I5" s="283" t="s">
        <v>217</v>
      </c>
    </row>
    <row r="6" spans="1:9">
      <c r="A6" s="278" t="s">
        <v>220</v>
      </c>
      <c r="B6" s="279" t="s">
        <v>221</v>
      </c>
      <c r="C6" s="280"/>
      <c r="D6" s="281">
        <v>45666</v>
      </c>
      <c r="E6" s="282">
        <v>0</v>
      </c>
      <c r="F6" s="282" t="s">
        <v>219</v>
      </c>
      <c r="G6" s="283">
        <v>5292</v>
      </c>
      <c r="H6" s="279" t="s">
        <v>39</v>
      </c>
      <c r="I6" s="283" t="s">
        <v>220</v>
      </c>
    </row>
    <row r="7" spans="1:9">
      <c r="A7" s="278" t="s">
        <v>222</v>
      </c>
      <c r="B7" s="279" t="s">
        <v>223</v>
      </c>
      <c r="C7" s="280"/>
      <c r="D7" s="287">
        <v>45719</v>
      </c>
      <c r="E7" s="282">
        <v>2000</v>
      </c>
      <c r="F7" s="282" t="s">
        <v>224</v>
      </c>
      <c r="G7" s="283">
        <v>5351</v>
      </c>
      <c r="H7" s="279" t="s">
        <v>54</v>
      </c>
      <c r="I7" s="278" t="s">
        <v>222</v>
      </c>
    </row>
    <row r="8" spans="1:9">
      <c r="A8" s="278" t="s">
        <v>225</v>
      </c>
      <c r="B8" s="279" t="s">
        <v>223</v>
      </c>
      <c r="C8" s="280"/>
      <c r="D8" s="287">
        <v>45719</v>
      </c>
      <c r="E8" s="282">
        <v>2000</v>
      </c>
      <c r="F8" s="282" t="s">
        <v>224</v>
      </c>
      <c r="G8" s="283">
        <v>5351</v>
      </c>
      <c r="H8" s="279" t="s">
        <v>49</v>
      </c>
      <c r="I8" s="278" t="s">
        <v>225</v>
      </c>
    </row>
    <row r="9" spans="1:9">
      <c r="A9" s="278" t="s">
        <v>226</v>
      </c>
      <c r="B9" s="285" t="s">
        <v>227</v>
      </c>
      <c r="C9" s="286"/>
      <c r="D9" s="287">
        <v>45719</v>
      </c>
      <c r="E9" s="288">
        <v>2500</v>
      </c>
      <c r="F9" s="282" t="s">
        <v>224</v>
      </c>
      <c r="G9" s="283">
        <v>5351</v>
      </c>
      <c r="H9" s="279" t="s">
        <v>54</v>
      </c>
      <c r="I9" s="278" t="s">
        <v>226</v>
      </c>
    </row>
    <row r="10" spans="1:9">
      <c r="A10" s="278" t="s">
        <v>228</v>
      </c>
      <c r="B10" s="278" t="s">
        <v>229</v>
      </c>
      <c r="C10" s="278"/>
      <c r="D10" s="287">
        <v>45719</v>
      </c>
      <c r="E10" s="288">
        <v>4000</v>
      </c>
      <c r="F10" s="282" t="s">
        <v>224</v>
      </c>
      <c r="G10" s="283">
        <v>5351</v>
      </c>
      <c r="H10" s="279" t="s">
        <v>49</v>
      </c>
      <c r="I10" s="278" t="s">
        <v>228</v>
      </c>
    </row>
    <row r="11" spans="1:9">
      <c r="A11" s="278" t="s">
        <v>230</v>
      </c>
      <c r="B11" s="278" t="s">
        <v>231</v>
      </c>
      <c r="C11" s="289"/>
      <c r="D11" s="287">
        <v>45719</v>
      </c>
      <c r="E11" s="288">
        <v>1000</v>
      </c>
      <c r="F11" s="282" t="s">
        <v>224</v>
      </c>
      <c r="G11" s="283">
        <v>5351</v>
      </c>
      <c r="H11" s="279" t="s">
        <v>49</v>
      </c>
      <c r="I11" s="278" t="s">
        <v>230</v>
      </c>
    </row>
    <row r="12" spans="1:9">
      <c r="A12" s="278" t="s">
        <v>232</v>
      </c>
      <c r="B12" s="278" t="s">
        <v>233</v>
      </c>
      <c r="C12" s="289"/>
      <c r="D12" s="287">
        <v>45761</v>
      </c>
      <c r="E12" s="288">
        <v>50000</v>
      </c>
      <c r="F12" s="288" t="s">
        <v>234</v>
      </c>
      <c r="G12" s="283">
        <v>5397</v>
      </c>
      <c r="H12" s="279" t="s">
        <v>169</v>
      </c>
      <c r="I12" s="279" t="s">
        <v>232</v>
      </c>
    </row>
    <row r="13" spans="1:9">
      <c r="A13" s="278" t="s">
        <v>235</v>
      </c>
      <c r="B13" s="278" t="s">
        <v>236</v>
      </c>
      <c r="C13" s="289"/>
      <c r="D13" s="287">
        <v>45756</v>
      </c>
      <c r="E13" s="288">
        <v>2040</v>
      </c>
      <c r="F13" s="288" t="s">
        <v>224</v>
      </c>
      <c r="G13" s="283">
        <v>5402</v>
      </c>
      <c r="H13" s="279" t="s">
        <v>237</v>
      </c>
      <c r="I13" s="279" t="s">
        <v>235</v>
      </c>
    </row>
    <row r="14" spans="1:9">
      <c r="A14" s="278"/>
      <c r="B14" s="278"/>
      <c r="C14" s="289"/>
      <c r="D14" s="287"/>
      <c r="E14" s="288"/>
      <c r="F14" s="288"/>
      <c r="G14" s="286"/>
      <c r="H14" s="279"/>
      <c r="I14" s="279"/>
    </row>
    <row r="15" spans="1:9">
      <c r="A15" s="278"/>
      <c r="B15" s="278"/>
      <c r="C15" s="280"/>
      <c r="D15" s="281"/>
      <c r="E15" s="282"/>
      <c r="F15" s="282"/>
      <c r="G15" s="282"/>
      <c r="H15" s="279"/>
      <c r="I15" s="279"/>
    </row>
    <row r="16" spans="1:9">
      <c r="A16" s="278"/>
      <c r="B16" s="278"/>
      <c r="C16" s="289"/>
      <c r="D16" s="281"/>
      <c r="E16" s="282"/>
      <c r="F16" s="282"/>
      <c r="G16" s="283"/>
      <c r="H16" s="279"/>
      <c r="I16" s="279"/>
    </row>
    <row r="17" spans="1:9">
      <c r="A17" s="278"/>
      <c r="B17" s="278"/>
      <c r="C17" s="289"/>
      <c r="D17" s="281"/>
      <c r="E17" s="282"/>
      <c r="F17" s="282"/>
      <c r="G17" s="283"/>
      <c r="H17" s="279"/>
      <c r="I17" s="279"/>
    </row>
    <row r="18" spans="1:9">
      <c r="A18" s="278"/>
      <c r="B18" s="290"/>
      <c r="C18" s="280"/>
      <c r="D18" s="281"/>
      <c r="E18" s="282"/>
      <c r="F18" s="282"/>
      <c r="G18" s="283"/>
      <c r="H18" s="279"/>
      <c r="I18" s="279"/>
    </row>
    <row r="19" spans="1:9">
      <c r="A19" s="278"/>
      <c r="B19" s="290"/>
      <c r="C19" s="280"/>
      <c r="D19" s="281"/>
      <c r="E19" s="282"/>
      <c r="F19" s="282"/>
      <c r="G19" s="283"/>
      <c r="H19" s="279"/>
      <c r="I19" s="279"/>
    </row>
    <row r="20" spans="1:9">
      <c r="A20" s="278"/>
      <c r="B20" s="278"/>
      <c r="C20" s="279"/>
      <c r="D20" s="281"/>
      <c r="E20" s="282"/>
      <c r="F20" s="282"/>
      <c r="G20" s="283"/>
      <c r="H20" s="279"/>
      <c r="I20" s="279"/>
    </row>
    <row r="21" spans="1:9">
      <c r="A21" s="278"/>
      <c r="B21" s="278"/>
      <c r="C21" s="279"/>
      <c r="D21" s="281"/>
      <c r="E21" s="282"/>
      <c r="F21" s="282"/>
      <c r="G21" s="283"/>
      <c r="H21" s="279"/>
      <c r="I21" s="279"/>
    </row>
    <row r="22" spans="1:9">
      <c r="A22" s="278"/>
      <c r="B22" s="278"/>
      <c r="C22" s="279"/>
      <c r="D22" s="281"/>
      <c r="E22" s="282"/>
      <c r="F22" s="282"/>
      <c r="G22" s="283"/>
      <c r="H22" s="279"/>
      <c r="I22" s="279"/>
    </row>
    <row r="23" spans="1:9">
      <c r="A23" s="278"/>
      <c r="B23" s="278"/>
      <c r="C23" s="279"/>
      <c r="D23" s="281"/>
      <c r="E23" s="282"/>
      <c r="F23" s="282"/>
      <c r="G23" s="283"/>
      <c r="H23" s="279"/>
      <c r="I23" s="279"/>
    </row>
    <row r="24" spans="1:9">
      <c r="F24" s="2"/>
      <c r="G24" s="2"/>
      <c r="H24"/>
    </row>
    <row r="25" spans="1:9">
      <c r="D25" s="1"/>
      <c r="E25" s="2">
        <f>SUM(E5:E24)</f>
        <v>82540</v>
      </c>
      <c r="F25" s="2"/>
      <c r="G25" s="2"/>
      <c r="H25"/>
    </row>
    <row r="26" spans="1:9">
      <c r="C26" s="26"/>
      <c r="D26" s="1"/>
      <c r="F26" s="2"/>
      <c r="G26" s="2"/>
      <c r="H26"/>
    </row>
    <row r="27" spans="1:9">
      <c r="A27" s="13"/>
      <c r="B27" s="13"/>
      <c r="C27" s="13"/>
      <c r="D27" s="14"/>
      <c r="E27" s="15"/>
      <c r="F27" s="2"/>
      <c r="G27" s="2"/>
      <c r="H27" s="10"/>
    </row>
    <row r="28" spans="1:9">
      <c r="A28" s="13"/>
      <c r="B28" s="13"/>
      <c r="C28" s="13"/>
      <c r="D28" s="14"/>
      <c r="E28" s="15"/>
      <c r="F28" s="27"/>
      <c r="G28" s="27"/>
      <c r="I28" s="10"/>
    </row>
    <row r="29" spans="1:9">
      <c r="A29" s="329" t="s">
        <v>82</v>
      </c>
      <c r="B29" s="329"/>
      <c r="C29" s="329"/>
      <c r="D29" s="329"/>
      <c r="E29" s="329"/>
      <c r="F29" s="329"/>
      <c r="G29" s="329"/>
      <c r="H29" s="329"/>
    </row>
    <row r="30" spans="1:9">
      <c r="A30" s="3" t="s">
        <v>29</v>
      </c>
      <c r="B30" s="3" t="s">
        <v>31</v>
      </c>
      <c r="C30" s="3" t="s">
        <v>32</v>
      </c>
      <c r="D30" s="3" t="s">
        <v>211</v>
      </c>
      <c r="E30" s="4" t="s">
        <v>212</v>
      </c>
      <c r="F30" s="4" t="s">
        <v>213</v>
      </c>
      <c r="G30" s="4" t="s">
        <v>214</v>
      </c>
      <c r="H30" s="4" t="s">
        <v>215</v>
      </c>
      <c r="I30" s="4" t="s">
        <v>216</v>
      </c>
    </row>
    <row r="31" spans="1:9">
      <c r="A31" s="278" t="s">
        <v>238</v>
      </c>
      <c r="B31" s="279" t="s">
        <v>239</v>
      </c>
      <c r="C31" s="280"/>
      <c r="D31" s="281">
        <v>45749</v>
      </c>
      <c r="E31" s="282">
        <v>19950</v>
      </c>
      <c r="F31" s="283" t="s">
        <v>240</v>
      </c>
      <c r="G31" s="283"/>
      <c r="H31" s="279"/>
      <c r="I31" s="279" t="s">
        <v>238</v>
      </c>
    </row>
    <row r="32" spans="1:9">
      <c r="A32" s="278" t="s">
        <v>241</v>
      </c>
      <c r="B32" s="279" t="s">
        <v>242</v>
      </c>
      <c r="C32" s="280"/>
      <c r="D32" s="281">
        <v>45749</v>
      </c>
      <c r="E32" s="282">
        <v>0</v>
      </c>
      <c r="F32" s="283" t="s">
        <v>240</v>
      </c>
      <c r="G32" s="283"/>
      <c r="H32" s="279"/>
      <c r="I32" s="325" t="s">
        <v>243</v>
      </c>
    </row>
    <row r="33" spans="1:12">
      <c r="A33" s="278" t="s">
        <v>244</v>
      </c>
      <c r="B33" s="279" t="s">
        <v>245</v>
      </c>
      <c r="C33" s="279"/>
      <c r="D33" s="281">
        <v>45749</v>
      </c>
      <c r="E33" s="282">
        <v>0</v>
      </c>
      <c r="F33" s="283" t="s">
        <v>240</v>
      </c>
      <c r="G33" s="283"/>
      <c r="H33" s="279"/>
      <c r="I33" s="279" t="s">
        <v>246</v>
      </c>
    </row>
    <row r="34" spans="1:12">
      <c r="A34" s="278" t="s">
        <v>247</v>
      </c>
      <c r="B34" s="279" t="s">
        <v>248</v>
      </c>
      <c r="C34" s="279"/>
      <c r="D34" s="281">
        <v>45764</v>
      </c>
      <c r="E34" s="282">
        <v>61500</v>
      </c>
      <c r="F34" s="283" t="s">
        <v>249</v>
      </c>
      <c r="G34" s="283"/>
      <c r="H34" s="279"/>
      <c r="I34" s="284" t="s">
        <v>247</v>
      </c>
    </row>
    <row r="35" spans="1:12">
      <c r="A35" s="278"/>
      <c r="B35" s="279"/>
      <c r="C35" s="291"/>
      <c r="D35" s="281"/>
      <c r="E35" s="282"/>
      <c r="F35" s="283"/>
      <c r="G35" s="283"/>
      <c r="H35" s="279"/>
      <c r="I35" s="279"/>
      <c r="K35" s="1"/>
    </row>
    <row r="36" spans="1:12">
      <c r="A36" s="278"/>
      <c r="B36" s="279"/>
      <c r="C36" s="291"/>
      <c r="D36" s="281"/>
      <c r="E36" s="282"/>
      <c r="F36" s="283"/>
      <c r="G36" s="283"/>
      <c r="H36" s="279"/>
      <c r="I36" s="284"/>
      <c r="K36" s="1"/>
    </row>
    <row r="37" spans="1:12">
      <c r="A37" s="278"/>
      <c r="B37" s="279"/>
      <c r="C37" s="291"/>
      <c r="D37" s="281"/>
      <c r="E37" s="282"/>
      <c r="F37" s="283"/>
      <c r="G37" s="283"/>
      <c r="H37" s="279"/>
      <c r="I37" s="279"/>
      <c r="K37" s="1"/>
    </row>
    <row r="38" spans="1:12">
      <c r="A38" s="278"/>
      <c r="B38" s="279"/>
      <c r="C38" s="291"/>
      <c r="D38" s="281"/>
      <c r="E38" s="282"/>
      <c r="F38" s="283"/>
      <c r="G38" s="283"/>
      <c r="H38" s="282"/>
      <c r="I38" s="284"/>
      <c r="L38" s="1"/>
    </row>
    <row r="39" spans="1:12">
      <c r="A39" s="278"/>
      <c r="B39" s="279"/>
      <c r="C39" s="291"/>
      <c r="D39" s="281"/>
      <c r="E39" s="282"/>
      <c r="F39" s="283"/>
      <c r="G39" s="283"/>
      <c r="H39" s="282"/>
      <c r="I39" s="279"/>
      <c r="L39" s="1"/>
    </row>
    <row r="40" spans="1:12">
      <c r="A40" s="278"/>
      <c r="B40" s="279"/>
      <c r="C40" s="291"/>
      <c r="D40" s="281"/>
      <c r="E40" s="282"/>
      <c r="F40" s="283"/>
      <c r="G40" s="283"/>
      <c r="H40" s="282"/>
      <c r="I40" s="284"/>
      <c r="L40" s="1"/>
    </row>
    <row r="41" spans="1:12">
      <c r="A41" s="278"/>
      <c r="B41" s="279"/>
      <c r="C41" s="291"/>
      <c r="D41" s="281"/>
      <c r="E41" s="282"/>
      <c r="F41" s="283"/>
      <c r="G41" s="283"/>
      <c r="H41" s="282"/>
      <c r="I41" s="279"/>
      <c r="L41" s="1"/>
    </row>
    <row r="42" spans="1:12">
      <c r="A42" s="278"/>
      <c r="B42" s="279"/>
      <c r="C42" s="291"/>
      <c r="D42" s="281"/>
      <c r="E42" s="282"/>
      <c r="F42" s="283"/>
      <c r="G42" s="283"/>
      <c r="H42" s="282"/>
      <c r="I42" s="284"/>
      <c r="L42" s="1"/>
    </row>
    <row r="43" spans="1:12">
      <c r="A43" s="278"/>
      <c r="B43" s="279"/>
      <c r="C43" s="291"/>
      <c r="D43" s="281"/>
      <c r="E43" s="282"/>
      <c r="F43" s="283"/>
      <c r="G43" s="283"/>
      <c r="H43" s="282"/>
      <c r="I43" s="284"/>
      <c r="L43" s="1"/>
    </row>
    <row r="44" spans="1:12">
      <c r="A44" s="278"/>
      <c r="B44" s="279"/>
      <c r="C44" s="291"/>
      <c r="D44" s="281"/>
      <c r="E44" s="282"/>
      <c r="F44" s="283"/>
      <c r="G44" s="283"/>
      <c r="H44" s="282"/>
      <c r="I44" s="284"/>
      <c r="L44" s="1"/>
    </row>
    <row r="45" spans="1:12">
      <c r="A45" s="278"/>
      <c r="B45" s="279"/>
      <c r="C45" s="291"/>
      <c r="D45" s="281"/>
      <c r="E45" s="282"/>
      <c r="F45" s="283"/>
      <c r="G45" s="283"/>
      <c r="H45" s="282"/>
      <c r="I45" s="279"/>
      <c r="L45" s="1"/>
    </row>
    <row r="46" spans="1:12">
      <c r="A46" s="278"/>
      <c r="B46" s="279"/>
      <c r="C46" s="291"/>
      <c r="D46" s="281"/>
      <c r="E46" s="282"/>
      <c r="F46" s="283"/>
      <c r="G46" s="283"/>
      <c r="H46" s="282"/>
      <c r="I46" s="284"/>
      <c r="L46" s="1"/>
    </row>
    <row r="47" spans="1:12">
      <c r="A47" s="278"/>
      <c r="B47" s="279"/>
      <c r="C47" s="291"/>
      <c r="D47" s="281"/>
      <c r="E47" s="282"/>
      <c r="F47" s="283"/>
      <c r="G47" s="283"/>
      <c r="H47" s="282"/>
      <c r="I47" s="279"/>
      <c r="L47" s="1"/>
    </row>
    <row r="48" spans="1:12">
      <c r="A48" s="278"/>
      <c r="B48" s="279"/>
      <c r="C48" s="291"/>
      <c r="D48" s="281"/>
      <c r="E48" s="282"/>
      <c r="F48" s="283"/>
      <c r="G48" s="283"/>
      <c r="H48" s="282"/>
      <c r="I48" s="279"/>
      <c r="L48" s="1"/>
    </row>
    <row r="49" spans="1:12">
      <c r="A49" s="278"/>
      <c r="B49" s="292"/>
      <c r="C49" s="291"/>
      <c r="D49" s="281"/>
      <c r="E49" s="282"/>
      <c r="F49" s="283"/>
      <c r="G49" s="283"/>
      <c r="H49" s="282"/>
      <c r="I49" s="279"/>
      <c r="L49" s="1"/>
    </row>
    <row r="50" spans="1:12">
      <c r="A50" s="278"/>
      <c r="B50" s="292"/>
      <c r="C50" s="291"/>
      <c r="D50" s="281"/>
      <c r="E50" s="282"/>
      <c r="F50" s="283"/>
      <c r="G50" s="283"/>
      <c r="H50" s="282"/>
      <c r="I50" s="279"/>
      <c r="L50" s="1"/>
    </row>
    <row r="51" spans="1:12">
      <c r="A51" s="278"/>
      <c r="B51" s="292"/>
      <c r="C51" s="291"/>
      <c r="D51" s="281"/>
      <c r="E51" s="282"/>
      <c r="F51" s="283"/>
      <c r="G51" s="283"/>
      <c r="H51" s="282"/>
      <c r="I51" s="279"/>
      <c r="L51" s="1"/>
    </row>
    <row r="52" spans="1:12">
      <c r="A52" s="278"/>
      <c r="B52" s="292"/>
      <c r="C52" s="291"/>
      <c r="D52" s="281"/>
      <c r="E52" s="282"/>
      <c r="F52" s="283"/>
      <c r="G52" s="283"/>
      <c r="H52" s="282"/>
      <c r="I52" s="279"/>
      <c r="L52" s="1"/>
    </row>
    <row r="53" spans="1:12">
      <c r="A53" s="278"/>
      <c r="B53" s="292"/>
      <c r="C53" s="291"/>
      <c r="D53" s="281"/>
      <c r="E53" s="282"/>
      <c r="F53" s="283"/>
      <c r="G53" s="283"/>
      <c r="H53" s="282"/>
      <c r="I53" s="279"/>
      <c r="L53" s="1"/>
    </row>
    <row r="54" spans="1:12">
      <c r="A54" s="278"/>
      <c r="B54" s="292"/>
      <c r="C54" s="291"/>
      <c r="D54" s="281"/>
      <c r="E54" s="282"/>
      <c r="F54" s="283"/>
      <c r="G54" s="283"/>
      <c r="H54" s="282"/>
      <c r="I54" s="279"/>
    </row>
    <row r="55" spans="1:12">
      <c r="A55" s="278"/>
      <c r="B55" s="292"/>
      <c r="C55" s="291"/>
      <c r="D55" s="281"/>
      <c r="E55" s="282"/>
      <c r="F55" s="283"/>
      <c r="G55" s="283"/>
      <c r="H55" s="282"/>
      <c r="I55" s="279"/>
    </row>
    <row r="56" spans="1:12">
      <c r="A56" s="278"/>
      <c r="B56" s="292"/>
      <c r="C56" s="291"/>
      <c r="D56" s="281"/>
      <c r="E56" s="282"/>
      <c r="F56" s="283"/>
      <c r="G56" s="283"/>
      <c r="H56" s="282"/>
      <c r="I56" s="279"/>
    </row>
    <row r="57" spans="1:12">
      <c r="A57" s="278"/>
      <c r="B57" s="279"/>
      <c r="C57" s="291"/>
      <c r="D57" s="281"/>
      <c r="E57" s="282"/>
      <c r="F57" s="283"/>
      <c r="G57" s="283"/>
      <c r="H57" s="282"/>
      <c r="I57" s="279"/>
    </row>
    <row r="58" spans="1:12">
      <c r="A58" s="278"/>
      <c r="B58" s="292"/>
      <c r="C58" s="291"/>
      <c r="D58" s="281"/>
      <c r="E58" s="282"/>
      <c r="F58" s="283"/>
      <c r="G58" s="283"/>
      <c r="H58" s="282"/>
      <c r="I58" s="279"/>
    </row>
    <row r="59" spans="1:12">
      <c r="A59" s="278"/>
      <c r="B59" s="279"/>
      <c r="C59" s="291"/>
      <c r="D59" s="281"/>
      <c r="E59" s="282"/>
      <c r="F59" s="283"/>
      <c r="G59" s="283"/>
      <c r="H59" s="282"/>
      <c r="I59" s="279"/>
    </row>
    <row r="60" spans="1:12">
      <c r="A60" s="278"/>
      <c r="B60" s="292"/>
      <c r="C60" s="291"/>
      <c r="D60" s="281"/>
      <c r="E60" s="282"/>
      <c r="F60" s="283"/>
      <c r="G60" s="283"/>
      <c r="H60" s="282"/>
      <c r="I60" s="279"/>
    </row>
    <row r="61" spans="1:12">
      <c r="A61" s="278"/>
      <c r="B61" s="279"/>
      <c r="C61" s="291"/>
      <c r="D61" s="281"/>
      <c r="E61" s="282"/>
      <c r="F61" s="283"/>
      <c r="G61" s="283"/>
      <c r="H61" s="282"/>
      <c r="I61" s="279"/>
    </row>
    <row r="62" spans="1:12">
      <c r="D62" s="1"/>
    </row>
    <row r="63" spans="1:12">
      <c r="C63" s="26"/>
      <c r="D63" s="1"/>
      <c r="E63" s="2">
        <f>SUM(E31:E62)</f>
        <v>81450</v>
      </c>
    </row>
    <row r="64" spans="1:12">
      <c r="C64" s="26"/>
      <c r="D64" s="1"/>
    </row>
    <row r="65" spans="3:4">
      <c r="C65" s="26"/>
      <c r="D65" s="1"/>
    </row>
    <row r="66" spans="3:4">
      <c r="C66" s="26"/>
      <c r="D66" s="1"/>
    </row>
    <row r="67" spans="3:4">
      <c r="C67" s="26"/>
      <c r="D67" s="1"/>
    </row>
    <row r="68" spans="3:4">
      <c r="C68" s="26"/>
      <c r="D68" s="1"/>
    </row>
    <row r="69" spans="3:4">
      <c r="C69" s="28"/>
      <c r="D69" s="1"/>
    </row>
    <row r="70" spans="3:4">
      <c r="C70" s="28"/>
      <c r="D70" s="1"/>
    </row>
    <row r="71" spans="3:4">
      <c r="C71" s="26"/>
      <c r="D71" s="1"/>
    </row>
    <row r="72" spans="3:4">
      <c r="C72" s="29"/>
      <c r="D72" s="1"/>
    </row>
    <row r="73" spans="3:4">
      <c r="C73" s="26"/>
      <c r="D73" s="1"/>
    </row>
    <row r="74" spans="3:4">
      <c r="C74" s="29"/>
      <c r="D74" s="1"/>
    </row>
    <row r="75" spans="3:4">
      <c r="C75" s="26"/>
    </row>
    <row r="76" spans="3:4">
      <c r="C76" s="26"/>
    </row>
  </sheetData>
  <mergeCells count="2">
    <mergeCell ref="A3:H3"/>
    <mergeCell ref="A29:H29"/>
  </mergeCells>
  <phoneticPr fontId="7" type="noConversion"/>
  <conditionalFormatting sqref="A41">
    <cfRule type="duplicateValues" dxfId="8" priority="1"/>
  </conditionalFormatting>
  <pageMargins left="0.7" right="0.7" top="0.75" bottom="0.75" header="0.3" footer="0.3"/>
  <pageSetup scale="88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  <pageSetUpPr fitToPage="1"/>
  </sheetPr>
  <dimension ref="A1:L39"/>
  <sheetViews>
    <sheetView workbookViewId="0">
      <selection activeCell="A5" sqref="A5"/>
    </sheetView>
  </sheetViews>
  <sheetFormatPr defaultColWidth="9.140625" defaultRowHeight="15"/>
  <cols>
    <col min="1" max="1" width="33.42578125" bestFit="1" customWidth="1"/>
    <col min="2" max="2" width="13.7109375" bestFit="1" customWidth="1"/>
    <col min="3" max="3" width="15.85546875" style="2" bestFit="1" customWidth="1"/>
    <col min="4" max="4" width="20.5703125" style="2" bestFit="1" customWidth="1"/>
    <col min="5" max="5" width="22.28515625" bestFit="1" customWidth="1"/>
    <col min="7" max="7" width="14.28515625" style="32" bestFit="1" customWidth="1"/>
    <col min="11" max="11" width="13" bestFit="1" customWidth="1"/>
  </cols>
  <sheetData>
    <row r="1" spans="1:12" ht="21">
      <c r="A1" s="16">
        <v>2025</v>
      </c>
    </row>
    <row r="3" spans="1:12">
      <c r="A3" s="329" t="s">
        <v>28</v>
      </c>
      <c r="B3" s="329"/>
      <c r="C3" s="329"/>
      <c r="D3" s="329"/>
    </row>
    <row r="4" spans="1:12">
      <c r="A4" s="3" t="s">
        <v>31</v>
      </c>
      <c r="B4" s="3" t="s">
        <v>33</v>
      </c>
      <c r="C4" s="4" t="s">
        <v>212</v>
      </c>
      <c r="D4" s="4" t="s">
        <v>250</v>
      </c>
    </row>
    <row r="5" spans="1:12">
      <c r="A5" s="35"/>
      <c r="B5" s="33"/>
      <c r="C5" s="36"/>
      <c r="D5" s="34"/>
      <c r="E5" s="17"/>
    </row>
    <row r="6" spans="1:12">
      <c r="A6" s="35"/>
      <c r="B6" s="33"/>
      <c r="C6" s="36"/>
      <c r="D6" s="34"/>
      <c r="E6" s="17"/>
    </row>
    <row r="7" spans="1:12">
      <c r="A7" s="35"/>
      <c r="B7" s="33"/>
      <c r="C7" s="36"/>
      <c r="D7" s="34"/>
      <c r="E7" s="17"/>
    </row>
    <row r="8" spans="1:12">
      <c r="A8" s="35"/>
      <c r="B8" s="33"/>
      <c r="C8" s="36"/>
      <c r="D8" s="34"/>
      <c r="E8" s="17"/>
    </row>
    <row r="9" spans="1:12">
      <c r="A9" s="35"/>
      <c r="B9" s="33"/>
      <c r="C9" s="36"/>
      <c r="D9" s="34"/>
      <c r="E9" s="17"/>
    </row>
    <row r="10" spans="1:12">
      <c r="A10" s="35"/>
      <c r="B10" s="33"/>
      <c r="C10" s="36"/>
      <c r="D10" s="34"/>
      <c r="E10" s="17"/>
    </row>
    <row r="11" spans="1:12">
      <c r="A11" s="35"/>
      <c r="B11" s="33"/>
      <c r="C11" s="36"/>
      <c r="D11" s="34"/>
      <c r="E11" s="17"/>
    </row>
    <row r="12" spans="1:12">
      <c r="A12" s="35"/>
      <c r="B12" s="33"/>
      <c r="C12" s="36"/>
      <c r="D12" s="34"/>
      <c r="E12" s="17"/>
    </row>
    <row r="13" spans="1:12">
      <c r="A13" s="35"/>
      <c r="B13" s="33"/>
      <c r="C13" s="36"/>
      <c r="D13" s="34"/>
      <c r="E13" s="17"/>
    </row>
    <row r="14" spans="1:12">
      <c r="B14" s="1"/>
    </row>
    <row r="15" spans="1:12">
      <c r="A15" s="13"/>
      <c r="B15" s="12" t="s">
        <v>251</v>
      </c>
      <c r="C15" s="11">
        <f>SUM(C5:C14)</f>
        <v>0</v>
      </c>
      <c r="E15" s="11">
        <f>(C15-(C15*0.15))/10</f>
        <v>0</v>
      </c>
      <c r="F15" s="8" t="s">
        <v>252</v>
      </c>
      <c r="K15" s="2">
        <f>C15*0.07</f>
        <v>0</v>
      </c>
      <c r="L15" s="8" t="s">
        <v>11</v>
      </c>
    </row>
    <row r="16" spans="1:12">
      <c r="A16" s="13"/>
      <c r="B16" s="14"/>
      <c r="C16" s="15"/>
      <c r="E16" s="10"/>
      <c r="F16" s="8" t="s">
        <v>253</v>
      </c>
    </row>
    <row r="17" spans="1:12">
      <c r="A17" s="329" t="s">
        <v>82</v>
      </c>
      <c r="B17" s="329"/>
      <c r="C17" s="329"/>
      <c r="D17" s="329"/>
    </row>
    <row r="18" spans="1:12">
      <c r="A18" s="3" t="s">
        <v>31</v>
      </c>
      <c r="B18" s="3" t="s">
        <v>33</v>
      </c>
      <c r="C18" s="4" t="s">
        <v>212</v>
      </c>
      <c r="D18" s="4" t="s">
        <v>250</v>
      </c>
    </row>
    <row r="19" spans="1:12">
      <c r="A19" s="25"/>
      <c r="B19" s="20"/>
      <c r="C19" s="18"/>
      <c r="D19" s="21"/>
      <c r="E19" s="18"/>
    </row>
    <row r="20" spans="1:12">
      <c r="A20" s="25"/>
      <c r="B20" s="20"/>
      <c r="C20" s="18"/>
      <c r="D20" s="21"/>
    </row>
    <row r="21" spans="1:12">
      <c r="A21" s="25"/>
      <c r="B21" s="20"/>
      <c r="C21" s="18"/>
      <c r="D21" s="21"/>
    </row>
    <row r="22" spans="1:12">
      <c r="A22" s="25"/>
      <c r="B22" s="20"/>
      <c r="C22" s="18"/>
      <c r="D22" s="21"/>
    </row>
    <row r="23" spans="1:12">
      <c r="D23" s="21"/>
    </row>
    <row r="24" spans="1:12">
      <c r="D24" s="21"/>
      <c r="E24" s="18"/>
    </row>
    <row r="25" spans="1:12">
      <c r="B25" s="1"/>
    </row>
    <row r="26" spans="1:12">
      <c r="B26" s="1" t="s">
        <v>251</v>
      </c>
      <c r="C26" s="18">
        <f>SUM(C19:C25)</f>
        <v>0</v>
      </c>
      <c r="E26" s="19">
        <f>(C26)/10</f>
        <v>0</v>
      </c>
      <c r="F26" s="8" t="s">
        <v>252</v>
      </c>
      <c r="K26" s="2">
        <f>C26*0.07</f>
        <v>0</v>
      </c>
      <c r="L26" s="8" t="s">
        <v>11</v>
      </c>
    </row>
    <row r="27" spans="1:12">
      <c r="B27" s="1"/>
      <c r="F27" s="8" t="s">
        <v>253</v>
      </c>
    </row>
    <row r="28" spans="1:12">
      <c r="B28" s="1"/>
    </row>
    <row r="29" spans="1:12">
      <c r="B29" s="1"/>
    </row>
    <row r="30" spans="1:12">
      <c r="B30" s="1"/>
      <c r="E30" s="2">
        <f>E15+E26</f>
        <v>0</v>
      </c>
      <c r="F30" s="8" t="s">
        <v>13</v>
      </c>
    </row>
    <row r="31" spans="1:12">
      <c r="B31" s="1"/>
    </row>
    <row r="32" spans="1:12">
      <c r="B32" s="1"/>
    </row>
    <row r="33" spans="2:2">
      <c r="B33" s="1"/>
    </row>
    <row r="34" spans="2:2">
      <c r="B34" s="1"/>
    </row>
    <row r="35" spans="2:2">
      <c r="B35" s="1"/>
    </row>
    <row r="36" spans="2:2">
      <c r="B36" s="1"/>
    </row>
    <row r="37" spans="2:2">
      <c r="B37" s="1"/>
    </row>
    <row r="38" spans="2:2">
      <c r="B38" s="1"/>
    </row>
    <row r="39" spans="2:2">
      <c r="B39" s="1"/>
    </row>
  </sheetData>
  <mergeCells count="2">
    <mergeCell ref="A3:D3"/>
    <mergeCell ref="A17:D17"/>
  </mergeCells>
  <phoneticPr fontId="7" type="noConversion"/>
  <pageMargins left="0.7" right="0.7" top="0.75" bottom="0.75" header="0.3" footer="0.3"/>
  <pageSetup scale="88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DA54E-48B0-4B82-94BA-772BB1924B6D}">
  <sheetPr>
    <tabColor rgb="FFFF0000"/>
    <pageSetUpPr fitToPage="1"/>
  </sheetPr>
  <dimension ref="A2:X172"/>
  <sheetViews>
    <sheetView tabSelected="1" topLeftCell="A136" zoomScale="80" zoomScaleNormal="80" workbookViewId="0">
      <selection activeCell="H156" sqref="H156"/>
    </sheetView>
  </sheetViews>
  <sheetFormatPr defaultRowHeight="15" outlineLevelCol="1"/>
  <cols>
    <col min="1" max="1" width="14" style="1" customWidth="1"/>
    <col min="2" max="2" width="10" style="31" bestFit="1" customWidth="1"/>
    <col min="3" max="3" width="19.28515625" bestFit="1" customWidth="1"/>
    <col min="4" max="4" width="13.140625" bestFit="1" customWidth="1"/>
    <col min="5" max="5" width="47.42578125" bestFit="1" customWidth="1"/>
    <col min="6" max="6" width="19.7109375" bestFit="1" customWidth="1"/>
    <col min="7" max="7" width="22.28515625" bestFit="1" customWidth="1"/>
    <col min="8" max="8" width="20.7109375" style="52" bestFit="1" customWidth="1"/>
    <col min="9" max="9" width="19.5703125" bestFit="1" customWidth="1"/>
    <col min="10" max="10" width="26.42578125" style="30" bestFit="1" customWidth="1"/>
    <col min="11" max="11" width="16.42578125" style="6" bestFit="1" customWidth="1"/>
    <col min="12" max="12" width="17.28515625" style="6" bestFit="1" customWidth="1"/>
    <col min="13" max="13" width="15.7109375" style="52" bestFit="1" customWidth="1" outlineLevel="1"/>
    <col min="14" max="14" width="21.5703125" style="52" bestFit="1" customWidth="1" outlineLevel="1"/>
    <col min="15" max="15" width="21.42578125" style="52" bestFit="1" customWidth="1" outlineLevel="1"/>
    <col min="16" max="16" width="24.5703125" bestFit="1" customWidth="1" outlineLevel="1"/>
    <col min="17" max="17" width="14.42578125" style="53" bestFit="1" customWidth="1" outlineLevel="1"/>
    <col min="18" max="18" width="15.28515625" bestFit="1" customWidth="1" outlineLevel="1"/>
    <col min="19" max="19" width="12" style="6" bestFit="1" customWidth="1" outlineLevel="1"/>
    <col min="20" max="20" width="11.7109375" bestFit="1" customWidth="1" outlineLevel="1"/>
    <col min="21" max="21" width="10.140625" style="6" bestFit="1" customWidth="1"/>
    <col min="22" max="22" width="10.42578125" bestFit="1" customWidth="1"/>
  </cols>
  <sheetData>
    <row r="2" spans="1:24" ht="15" customHeight="1">
      <c r="A2" s="37" t="s">
        <v>254</v>
      </c>
      <c r="B2" s="38"/>
      <c r="C2" s="37"/>
      <c r="D2" s="37"/>
      <c r="E2" s="37"/>
      <c r="F2" s="37"/>
      <c r="G2" s="37"/>
      <c r="H2" s="37"/>
      <c r="I2" s="37"/>
      <c r="J2" s="165"/>
      <c r="K2" s="37"/>
      <c r="L2" s="37"/>
      <c r="M2" s="39"/>
      <c r="N2" s="39"/>
      <c r="O2" s="39"/>
      <c r="P2" s="37"/>
      <c r="Q2" s="37"/>
      <c r="R2" s="37"/>
      <c r="S2" s="37"/>
      <c r="T2" s="37"/>
      <c r="U2" s="38"/>
      <c r="V2" s="37"/>
      <c r="W2" s="37"/>
      <c r="X2" s="40"/>
    </row>
    <row r="3" spans="1:24" ht="15" customHeight="1">
      <c r="A3" s="37"/>
      <c r="B3" s="38"/>
      <c r="C3" s="37"/>
      <c r="D3" s="37"/>
      <c r="E3" s="37"/>
      <c r="F3" s="37"/>
      <c r="G3" s="37"/>
      <c r="H3" s="127">
        <f>SUM(H6:H111)</f>
        <v>8294666.1899999958</v>
      </c>
      <c r="I3" s="37"/>
      <c r="J3" s="165"/>
      <c r="K3" s="37"/>
      <c r="L3" s="37"/>
      <c r="M3" s="39"/>
      <c r="N3" s="39"/>
      <c r="O3" s="39"/>
      <c r="P3" s="37"/>
      <c r="Q3" s="37"/>
      <c r="R3" s="37"/>
      <c r="S3" s="37"/>
      <c r="T3" s="37"/>
      <c r="U3" s="38"/>
      <c r="V3" s="37"/>
      <c r="W3" s="37"/>
    </row>
    <row r="4" spans="1:24">
      <c r="H4" s="52">
        <f>H3-Summary!C23</f>
        <v>3198923.3099999959</v>
      </c>
      <c r="I4" s="17" t="s">
        <v>255</v>
      </c>
    </row>
    <row r="5" spans="1:24" s="119" customFormat="1">
      <c r="A5" s="113" t="s">
        <v>256</v>
      </c>
      <c r="B5" s="113" t="s">
        <v>257</v>
      </c>
      <c r="C5" s="114" t="s">
        <v>258</v>
      </c>
      <c r="D5" s="114" t="s">
        <v>250</v>
      </c>
      <c r="E5" s="114" t="s">
        <v>259</v>
      </c>
      <c r="F5" s="114" t="s">
        <v>260</v>
      </c>
      <c r="G5" s="114" t="s">
        <v>261</v>
      </c>
      <c r="H5" s="115" t="s">
        <v>262</v>
      </c>
      <c r="I5" s="114" t="s">
        <v>33</v>
      </c>
      <c r="J5" s="166" t="s">
        <v>263</v>
      </c>
      <c r="K5" s="114" t="s">
        <v>264</v>
      </c>
      <c r="L5" s="114" t="s">
        <v>265</v>
      </c>
      <c r="M5" s="116" t="s">
        <v>266</v>
      </c>
      <c r="N5" s="116" t="s">
        <v>261</v>
      </c>
      <c r="O5" s="116" t="s">
        <v>267</v>
      </c>
      <c r="P5" s="117" t="s">
        <v>268</v>
      </c>
      <c r="Q5" s="118" t="s">
        <v>269</v>
      </c>
      <c r="R5" s="117" t="s">
        <v>270</v>
      </c>
      <c r="S5" s="117" t="s">
        <v>271</v>
      </c>
      <c r="T5" s="117" t="s">
        <v>272</v>
      </c>
      <c r="U5" s="117" t="s">
        <v>273</v>
      </c>
    </row>
    <row r="6" spans="1:24">
      <c r="A6" s="122">
        <v>45294</v>
      </c>
      <c r="B6" s="123" t="s">
        <v>274</v>
      </c>
      <c r="C6" s="41">
        <v>276331</v>
      </c>
      <c r="D6" s="41" t="s">
        <v>275</v>
      </c>
      <c r="E6" s="41" t="s">
        <v>276</v>
      </c>
      <c r="F6" s="41" t="s">
        <v>277</v>
      </c>
      <c r="G6" s="129">
        <v>230690</v>
      </c>
      <c r="H6" s="160">
        <v>121892.35</v>
      </c>
      <c r="I6" s="122">
        <v>45303</v>
      </c>
      <c r="J6" s="129">
        <v>133579</v>
      </c>
      <c r="K6" s="42">
        <v>1015</v>
      </c>
      <c r="L6" s="42" t="s">
        <v>278</v>
      </c>
      <c r="M6" s="43">
        <v>0</v>
      </c>
      <c r="N6" s="43">
        <v>0</v>
      </c>
      <c r="O6" s="43">
        <v>0</v>
      </c>
      <c r="P6" s="41" t="s">
        <v>279</v>
      </c>
      <c r="Q6" s="44">
        <v>7.0000000000000007E-2</v>
      </c>
      <c r="R6" s="41"/>
      <c r="S6" s="41">
        <v>206900</v>
      </c>
      <c r="T6" s="41">
        <v>256900</v>
      </c>
      <c r="U6" s="42"/>
    </row>
    <row r="7" spans="1:24">
      <c r="A7" s="45">
        <v>45302</v>
      </c>
      <c r="B7" s="46" t="s">
        <v>280</v>
      </c>
      <c r="C7" s="47">
        <v>276244</v>
      </c>
      <c r="D7" s="47" t="s">
        <v>281</v>
      </c>
      <c r="E7" s="47" t="s">
        <v>282</v>
      </c>
      <c r="F7" s="47" t="s">
        <v>283</v>
      </c>
      <c r="G7" s="130" t="s">
        <v>284</v>
      </c>
      <c r="H7" s="126">
        <v>179108</v>
      </c>
      <c r="I7" s="45">
        <v>45302</v>
      </c>
      <c r="J7" s="130" t="s">
        <v>285</v>
      </c>
      <c r="K7" s="48">
        <v>1015</v>
      </c>
      <c r="L7" s="48" t="s">
        <v>278</v>
      </c>
      <c r="M7" s="49" t="s">
        <v>237</v>
      </c>
      <c r="N7" s="49">
        <v>0</v>
      </c>
      <c r="O7" s="49" t="s">
        <v>237</v>
      </c>
      <c r="P7" s="41" t="s">
        <v>279</v>
      </c>
      <c r="Q7" s="44">
        <v>7.0000000000000007E-2</v>
      </c>
      <c r="R7" s="41"/>
      <c r="S7" s="41">
        <v>206900</v>
      </c>
      <c r="T7" s="41">
        <v>256900</v>
      </c>
      <c r="U7" s="42">
        <v>8</v>
      </c>
    </row>
    <row r="8" spans="1:24">
      <c r="A8" s="45">
        <v>45302</v>
      </c>
      <c r="B8" s="46" t="s">
        <v>280</v>
      </c>
      <c r="C8" s="47">
        <v>276245</v>
      </c>
      <c r="D8" s="47" t="s">
        <v>281</v>
      </c>
      <c r="E8" s="47" t="s">
        <v>286</v>
      </c>
      <c r="F8" s="47" t="s">
        <v>283</v>
      </c>
      <c r="G8" s="130" t="s">
        <v>284</v>
      </c>
      <c r="H8" s="126">
        <v>203220</v>
      </c>
      <c r="I8" s="45">
        <v>45302</v>
      </c>
      <c r="J8" s="130" t="s">
        <v>285</v>
      </c>
      <c r="K8" s="48">
        <v>1015</v>
      </c>
      <c r="L8" s="48" t="s">
        <v>278</v>
      </c>
      <c r="M8" s="49">
        <v>0</v>
      </c>
      <c r="N8" s="49">
        <v>0</v>
      </c>
      <c r="O8" s="49">
        <v>0</v>
      </c>
      <c r="P8" s="41" t="s">
        <v>279</v>
      </c>
      <c r="Q8" s="44">
        <v>7.0000000000000007E-2</v>
      </c>
      <c r="R8" s="41"/>
      <c r="S8" s="41">
        <v>206900</v>
      </c>
      <c r="T8" s="41">
        <v>256900</v>
      </c>
      <c r="U8" s="42">
        <v>8</v>
      </c>
    </row>
    <row r="9" spans="1:24">
      <c r="A9" s="45">
        <v>45302</v>
      </c>
      <c r="B9" s="46" t="s">
        <v>280</v>
      </c>
      <c r="C9" s="47">
        <v>276312</v>
      </c>
      <c r="D9" s="47" t="s">
        <v>287</v>
      </c>
      <c r="E9" s="47" t="s">
        <v>288</v>
      </c>
      <c r="F9" s="47" t="s">
        <v>289</v>
      </c>
      <c r="G9" s="130">
        <v>160076908</v>
      </c>
      <c r="H9" s="124">
        <v>39266.32</v>
      </c>
      <c r="I9" s="45">
        <v>45303</v>
      </c>
      <c r="J9" s="130">
        <v>133562</v>
      </c>
      <c r="K9" s="48">
        <v>1015</v>
      </c>
      <c r="L9" s="48" t="s">
        <v>278</v>
      </c>
      <c r="M9" s="49">
        <v>0</v>
      </c>
      <c r="N9" s="49">
        <v>0</v>
      </c>
      <c r="O9" s="49">
        <v>0</v>
      </c>
      <c r="P9" s="41" t="s">
        <v>279</v>
      </c>
      <c r="Q9" s="44">
        <v>7.0000000000000007E-2</v>
      </c>
      <c r="R9" s="41"/>
      <c r="S9" s="41">
        <v>206900</v>
      </c>
      <c r="T9" s="41">
        <v>256900</v>
      </c>
      <c r="U9" s="42"/>
    </row>
    <row r="10" spans="1:24">
      <c r="A10" s="45">
        <v>45303</v>
      </c>
      <c r="B10" s="46" t="s">
        <v>274</v>
      </c>
      <c r="C10" s="47">
        <v>276335</v>
      </c>
      <c r="D10" s="47" t="s">
        <v>290</v>
      </c>
      <c r="E10" s="47" t="s">
        <v>291</v>
      </c>
      <c r="F10" s="47" t="s">
        <v>277</v>
      </c>
      <c r="G10" s="130" t="s">
        <v>292</v>
      </c>
      <c r="H10" s="128">
        <v>72305</v>
      </c>
      <c r="I10" s="45">
        <v>45303</v>
      </c>
      <c r="J10" s="130">
        <v>133580</v>
      </c>
      <c r="K10" s="48">
        <v>1015</v>
      </c>
      <c r="L10" s="48" t="s">
        <v>278</v>
      </c>
      <c r="M10" s="49">
        <v>0</v>
      </c>
      <c r="N10" s="49">
        <v>0</v>
      </c>
      <c r="O10" s="49">
        <v>0</v>
      </c>
      <c r="P10" s="41" t="s">
        <v>279</v>
      </c>
      <c r="Q10" s="44">
        <v>7.0000000000000007E-2</v>
      </c>
      <c r="R10" s="41"/>
      <c r="S10" s="41">
        <v>206900</v>
      </c>
      <c r="T10" s="41">
        <v>256900</v>
      </c>
      <c r="U10" s="42"/>
    </row>
    <row r="11" spans="1:24">
      <c r="A11" s="45">
        <v>45303</v>
      </c>
      <c r="B11" s="46" t="s">
        <v>274</v>
      </c>
      <c r="C11" s="47">
        <v>276552</v>
      </c>
      <c r="D11" s="47" t="s">
        <v>293</v>
      </c>
      <c r="E11" s="47" t="s">
        <v>294</v>
      </c>
      <c r="F11" s="47" t="s">
        <v>295</v>
      </c>
      <c r="G11" s="130" t="s">
        <v>296</v>
      </c>
      <c r="H11" s="124">
        <v>53378.93</v>
      </c>
      <c r="I11" s="45">
        <v>45306</v>
      </c>
      <c r="J11" s="130">
        <v>133605</v>
      </c>
      <c r="K11" s="48">
        <v>1015</v>
      </c>
      <c r="L11" s="48" t="s">
        <v>278</v>
      </c>
      <c r="M11" s="49">
        <v>0</v>
      </c>
      <c r="N11" s="49">
        <v>0</v>
      </c>
      <c r="O11" s="49">
        <v>0</v>
      </c>
      <c r="P11" s="41" t="s">
        <v>279</v>
      </c>
      <c r="Q11" s="44">
        <v>7.0000000000000007E-2</v>
      </c>
      <c r="R11" s="41"/>
      <c r="S11" s="41">
        <v>206900</v>
      </c>
      <c r="T11" s="41">
        <v>256900</v>
      </c>
      <c r="U11" s="42"/>
    </row>
    <row r="12" spans="1:24">
      <c r="A12" s="45">
        <v>45323</v>
      </c>
      <c r="B12" s="46" t="s">
        <v>280</v>
      </c>
      <c r="C12" s="47">
        <v>279044</v>
      </c>
      <c r="D12" s="47" t="s">
        <v>297</v>
      </c>
      <c r="E12" s="159" t="s">
        <v>298</v>
      </c>
      <c r="F12" s="47" t="s">
        <v>299</v>
      </c>
      <c r="G12" s="30" t="s">
        <v>300</v>
      </c>
      <c r="H12" s="124">
        <v>36534.39</v>
      </c>
      <c r="I12" s="45">
        <v>45359</v>
      </c>
      <c r="J12" s="130">
        <v>134978</v>
      </c>
      <c r="K12" s="48">
        <v>1015</v>
      </c>
      <c r="L12" s="48" t="s">
        <v>278</v>
      </c>
      <c r="M12" s="49"/>
      <c r="N12" s="49"/>
      <c r="O12" s="49"/>
      <c r="P12" s="41" t="s">
        <v>279</v>
      </c>
      <c r="Q12" s="44">
        <v>7.0000000000000007E-2</v>
      </c>
      <c r="R12" s="41"/>
      <c r="S12" s="41">
        <v>206900</v>
      </c>
      <c r="T12" s="41">
        <v>256900</v>
      </c>
      <c r="U12" s="42"/>
    </row>
    <row r="13" spans="1:24">
      <c r="A13" s="45">
        <v>45341</v>
      </c>
      <c r="B13" s="46" t="s">
        <v>280</v>
      </c>
      <c r="C13" s="47">
        <v>279130</v>
      </c>
      <c r="D13" s="47" t="s">
        <v>301</v>
      </c>
      <c r="E13" s="150" t="s">
        <v>302</v>
      </c>
      <c r="F13" s="47" t="s">
        <v>303</v>
      </c>
      <c r="G13" s="151" t="s">
        <v>304</v>
      </c>
      <c r="H13" s="124">
        <v>145000</v>
      </c>
      <c r="I13" s="45">
        <v>45341</v>
      </c>
      <c r="J13" s="130">
        <v>134455</v>
      </c>
      <c r="K13" s="48">
        <v>1015</v>
      </c>
      <c r="L13" s="48" t="s">
        <v>278</v>
      </c>
      <c r="M13" s="49">
        <v>0</v>
      </c>
      <c r="N13" s="49">
        <v>0</v>
      </c>
      <c r="O13" s="49">
        <v>0</v>
      </c>
      <c r="P13" s="41" t="s">
        <v>279</v>
      </c>
      <c r="Q13" s="44">
        <v>7.0000000000000007E-2</v>
      </c>
      <c r="R13" s="41"/>
      <c r="S13" s="41">
        <v>206900</v>
      </c>
      <c r="T13" s="41">
        <v>256900</v>
      </c>
      <c r="U13" s="42"/>
    </row>
    <row r="14" spans="1:24">
      <c r="A14" s="45">
        <v>45342</v>
      </c>
      <c r="B14" s="46" t="s">
        <v>280</v>
      </c>
      <c r="C14" s="47">
        <v>279275</v>
      </c>
      <c r="D14" s="47" t="s">
        <v>305</v>
      </c>
      <c r="E14" s="47" t="s">
        <v>306</v>
      </c>
      <c r="F14" s="47" t="s">
        <v>307</v>
      </c>
      <c r="G14" s="47" t="s">
        <v>308</v>
      </c>
      <c r="H14" s="124">
        <v>47697.23</v>
      </c>
      <c r="I14" s="45">
        <v>45342</v>
      </c>
      <c r="J14" s="130">
        <v>134459</v>
      </c>
      <c r="K14" s="48">
        <v>1015</v>
      </c>
      <c r="L14" s="48" t="s">
        <v>278</v>
      </c>
      <c r="M14" s="49">
        <v>0</v>
      </c>
      <c r="N14" s="49">
        <v>0</v>
      </c>
      <c r="O14" s="49">
        <v>0</v>
      </c>
      <c r="P14" s="41" t="s">
        <v>279</v>
      </c>
      <c r="Q14" s="44">
        <v>7.0000000000000007E-2</v>
      </c>
      <c r="R14" s="41"/>
      <c r="S14" s="41">
        <v>206900</v>
      </c>
      <c r="T14" s="41">
        <v>256900</v>
      </c>
      <c r="U14" s="42"/>
    </row>
    <row r="15" spans="1:24">
      <c r="A15" s="45">
        <v>45345</v>
      </c>
      <c r="B15" s="46" t="s">
        <v>280</v>
      </c>
      <c r="C15" s="47">
        <v>279501</v>
      </c>
      <c r="D15" s="47" t="s">
        <v>309</v>
      </c>
      <c r="E15" s="47" t="s">
        <v>310</v>
      </c>
      <c r="F15" s="47" t="s">
        <v>311</v>
      </c>
      <c r="G15" s="47"/>
      <c r="H15" s="124">
        <v>15709</v>
      </c>
      <c r="I15" s="45">
        <v>45345</v>
      </c>
      <c r="J15" s="130">
        <v>134564</v>
      </c>
      <c r="K15" s="48">
        <v>1015</v>
      </c>
      <c r="L15" s="48" t="s">
        <v>278</v>
      </c>
      <c r="M15" s="49">
        <v>0</v>
      </c>
      <c r="N15" s="49">
        <v>0</v>
      </c>
      <c r="O15" s="49">
        <v>0</v>
      </c>
      <c r="P15" s="41" t="s">
        <v>279</v>
      </c>
      <c r="Q15" s="44">
        <v>7.0000000000000007E-2</v>
      </c>
      <c r="R15" s="41"/>
      <c r="S15" s="41">
        <v>206900</v>
      </c>
      <c r="T15" s="41">
        <v>256900</v>
      </c>
      <c r="U15" s="42"/>
    </row>
    <row r="16" spans="1:24">
      <c r="A16" s="45">
        <v>45348</v>
      </c>
      <c r="B16" s="46" t="s">
        <v>280</v>
      </c>
      <c r="C16" s="47">
        <v>279752</v>
      </c>
      <c r="D16" s="47" t="s">
        <v>312</v>
      </c>
      <c r="E16" s="47" t="s">
        <v>313</v>
      </c>
      <c r="F16" s="47"/>
      <c r="G16" s="47">
        <v>43557</v>
      </c>
      <c r="H16" s="124">
        <v>12733</v>
      </c>
      <c r="I16" s="45">
        <v>45380</v>
      </c>
      <c r="J16" s="130">
        <v>135595</v>
      </c>
      <c r="K16" s="48">
        <v>1015</v>
      </c>
      <c r="L16" s="48" t="s">
        <v>278</v>
      </c>
      <c r="M16" s="49"/>
      <c r="N16" s="49"/>
      <c r="O16" s="49"/>
      <c r="P16" s="41" t="s">
        <v>279</v>
      </c>
      <c r="Q16" s="44">
        <v>7.0000000000000007E-2</v>
      </c>
      <c r="R16" s="41"/>
      <c r="S16" s="41">
        <v>206900</v>
      </c>
      <c r="T16" s="41">
        <v>256900</v>
      </c>
      <c r="U16" s="42"/>
    </row>
    <row r="17" spans="1:21">
      <c r="A17" s="45">
        <v>45349</v>
      </c>
      <c r="B17" s="46" t="s">
        <v>274</v>
      </c>
      <c r="C17" s="47">
        <v>279778</v>
      </c>
      <c r="D17" s="47" t="s">
        <v>314</v>
      </c>
      <c r="E17" s="47" t="s">
        <v>315</v>
      </c>
      <c r="F17" s="47" t="s">
        <v>316</v>
      </c>
      <c r="G17" s="47" t="s">
        <v>317</v>
      </c>
      <c r="H17" s="124">
        <f>115549+4750</f>
        <v>120299</v>
      </c>
      <c r="I17" s="45">
        <v>45349</v>
      </c>
      <c r="J17" s="130" t="s">
        <v>318</v>
      </c>
      <c r="K17" s="48">
        <v>1015</v>
      </c>
      <c r="L17" s="48" t="s">
        <v>278</v>
      </c>
      <c r="M17" s="49">
        <v>0</v>
      </c>
      <c r="N17" s="49">
        <v>0</v>
      </c>
      <c r="O17" s="49">
        <v>0</v>
      </c>
      <c r="P17" s="41" t="s">
        <v>279</v>
      </c>
      <c r="Q17" s="44">
        <v>7.0000000000000007E-2</v>
      </c>
      <c r="R17" s="41"/>
      <c r="S17" s="41">
        <v>206900</v>
      </c>
      <c r="T17" s="41">
        <v>256900</v>
      </c>
      <c r="U17" s="42"/>
    </row>
    <row r="18" spans="1:21">
      <c r="A18" s="45">
        <v>45352</v>
      </c>
      <c r="B18" s="46" t="s">
        <v>274</v>
      </c>
      <c r="C18" s="47">
        <v>280032</v>
      </c>
      <c r="D18" s="47" t="s">
        <v>319</v>
      </c>
      <c r="E18" s="47" t="s">
        <v>320</v>
      </c>
      <c r="F18" s="47" t="s">
        <v>316</v>
      </c>
      <c r="G18" s="47" t="s">
        <v>317</v>
      </c>
      <c r="H18" s="124">
        <v>70179.19</v>
      </c>
      <c r="I18" s="45">
        <v>45352</v>
      </c>
      <c r="J18" s="130">
        <v>134742</v>
      </c>
      <c r="K18" s="48">
        <v>1015</v>
      </c>
      <c r="L18" s="48" t="s">
        <v>278</v>
      </c>
      <c r="M18" s="49">
        <v>0</v>
      </c>
      <c r="N18" s="49">
        <v>0</v>
      </c>
      <c r="O18" s="49">
        <v>0</v>
      </c>
      <c r="P18" s="41" t="s">
        <v>279</v>
      </c>
      <c r="Q18" s="44">
        <v>7.0000000000000007E-2</v>
      </c>
      <c r="R18" s="41"/>
      <c r="S18" s="41">
        <v>206900</v>
      </c>
      <c r="T18" s="41">
        <v>256900</v>
      </c>
      <c r="U18" s="42"/>
    </row>
    <row r="19" spans="1:21">
      <c r="A19" s="45">
        <v>45359</v>
      </c>
      <c r="B19" s="46" t="s">
        <v>274</v>
      </c>
      <c r="C19" s="47">
        <v>283500</v>
      </c>
      <c r="D19" s="47" t="s">
        <v>321</v>
      </c>
      <c r="E19" s="47" t="s">
        <v>322</v>
      </c>
      <c r="F19" s="47" t="s">
        <v>323</v>
      </c>
      <c r="G19" s="47" t="s">
        <v>324</v>
      </c>
      <c r="H19" s="124">
        <v>65000</v>
      </c>
      <c r="I19" s="45">
        <v>45359</v>
      </c>
      <c r="J19" s="130">
        <v>111030824</v>
      </c>
      <c r="K19" s="48">
        <v>1015</v>
      </c>
      <c r="L19" s="48" t="s">
        <v>325</v>
      </c>
      <c r="M19" s="49"/>
      <c r="N19" s="49"/>
      <c r="O19" s="49"/>
      <c r="P19" s="41" t="s">
        <v>279</v>
      </c>
      <c r="Q19" s="44">
        <v>7.0000000000000007E-2</v>
      </c>
      <c r="R19" s="41"/>
      <c r="S19" s="41">
        <v>206900</v>
      </c>
      <c r="T19" s="41">
        <v>256900</v>
      </c>
      <c r="U19" s="42"/>
    </row>
    <row r="20" spans="1:21">
      <c r="A20" s="45">
        <v>45359</v>
      </c>
      <c r="B20" s="46" t="s">
        <v>274</v>
      </c>
      <c r="C20" s="47">
        <v>283500</v>
      </c>
      <c r="D20" s="47" t="s">
        <v>321</v>
      </c>
      <c r="E20" s="47" t="s">
        <v>326</v>
      </c>
      <c r="F20" s="47" t="s">
        <v>327</v>
      </c>
      <c r="G20" s="47" t="s">
        <v>328</v>
      </c>
      <c r="H20" s="124">
        <v>55499</v>
      </c>
      <c r="I20" s="45">
        <v>45359</v>
      </c>
      <c r="J20" s="130">
        <v>111030824</v>
      </c>
      <c r="K20" s="48">
        <v>1015</v>
      </c>
      <c r="L20" s="48" t="s">
        <v>325</v>
      </c>
      <c r="M20" s="49"/>
      <c r="N20" s="49"/>
      <c r="O20" s="49"/>
      <c r="P20" s="41" t="s">
        <v>279</v>
      </c>
      <c r="Q20" s="44">
        <v>7.0000000000000007E-2</v>
      </c>
      <c r="R20" s="41"/>
      <c r="S20" s="41">
        <v>206900</v>
      </c>
      <c r="T20" s="41">
        <v>256900</v>
      </c>
      <c r="U20" s="42"/>
    </row>
    <row r="21" spans="1:21">
      <c r="A21" s="45">
        <v>45359</v>
      </c>
      <c r="B21" s="46" t="s">
        <v>274</v>
      </c>
      <c r="C21" s="47">
        <v>283500</v>
      </c>
      <c r="D21" s="47" t="s">
        <v>321</v>
      </c>
      <c r="E21" s="47" t="s">
        <v>329</v>
      </c>
      <c r="F21" s="47" t="s">
        <v>330</v>
      </c>
      <c r="G21" s="47" t="s">
        <v>331</v>
      </c>
      <c r="H21" s="124">
        <v>54300</v>
      </c>
      <c r="I21" s="45">
        <v>45359</v>
      </c>
      <c r="J21" s="130">
        <v>111030824</v>
      </c>
      <c r="K21" s="48">
        <v>1015</v>
      </c>
      <c r="L21" s="48" t="s">
        <v>325</v>
      </c>
      <c r="M21" s="49"/>
      <c r="N21" s="49"/>
      <c r="O21" s="49"/>
      <c r="P21" s="41" t="s">
        <v>279</v>
      </c>
      <c r="Q21" s="44">
        <v>7.0000000000000007E-2</v>
      </c>
      <c r="R21" s="41"/>
      <c r="S21" s="41">
        <v>206900</v>
      </c>
      <c r="T21" s="41">
        <v>256900</v>
      </c>
      <c r="U21" s="42"/>
    </row>
    <row r="22" spans="1:21">
      <c r="A22" s="45">
        <v>45363</v>
      </c>
      <c r="B22" s="46" t="s">
        <v>280</v>
      </c>
      <c r="C22" s="47">
        <v>283502</v>
      </c>
      <c r="D22" s="47" t="s">
        <v>332</v>
      </c>
      <c r="E22" s="47" t="s">
        <v>333</v>
      </c>
      <c r="F22" s="47" t="s">
        <v>334</v>
      </c>
      <c r="G22" s="47" t="s">
        <v>335</v>
      </c>
      <c r="H22" s="124">
        <v>88217.18</v>
      </c>
      <c r="I22" s="45">
        <v>45369</v>
      </c>
      <c r="J22" s="130">
        <v>112031824</v>
      </c>
      <c r="K22" s="48">
        <v>1015</v>
      </c>
      <c r="L22" s="48" t="s">
        <v>325</v>
      </c>
      <c r="M22" s="49"/>
      <c r="N22" s="49"/>
      <c r="O22" s="49"/>
      <c r="P22" s="41" t="s">
        <v>279</v>
      </c>
      <c r="Q22" s="44">
        <v>7.0000000000000007E-2</v>
      </c>
      <c r="R22" s="41"/>
      <c r="S22" s="41">
        <v>206900</v>
      </c>
      <c r="T22" s="41">
        <v>256900</v>
      </c>
      <c r="U22" s="42"/>
    </row>
    <row r="23" spans="1:21">
      <c r="A23" s="45">
        <v>45363</v>
      </c>
      <c r="B23" s="46" t="s">
        <v>280</v>
      </c>
      <c r="C23" s="47">
        <v>283502</v>
      </c>
      <c r="D23" s="47" t="s">
        <v>332</v>
      </c>
      <c r="E23" s="47" t="s">
        <v>336</v>
      </c>
      <c r="F23" s="47" t="s">
        <v>337</v>
      </c>
      <c r="G23" s="47" t="s">
        <v>338</v>
      </c>
      <c r="H23" s="124">
        <v>28750.03</v>
      </c>
      <c r="I23" s="45">
        <v>45369</v>
      </c>
      <c r="J23" s="130">
        <v>112031824</v>
      </c>
      <c r="K23" s="48">
        <v>1015</v>
      </c>
      <c r="L23" s="48" t="s">
        <v>325</v>
      </c>
      <c r="M23" s="49"/>
      <c r="N23" s="49"/>
      <c r="O23" s="49"/>
      <c r="P23" s="41" t="s">
        <v>279</v>
      </c>
      <c r="Q23" s="44">
        <v>7.0000000000000007E-2</v>
      </c>
      <c r="R23" s="41"/>
      <c r="S23" s="41">
        <v>206900</v>
      </c>
      <c r="T23" s="41">
        <v>256900</v>
      </c>
      <c r="U23" s="42"/>
    </row>
    <row r="24" spans="1:21">
      <c r="A24" s="45">
        <v>45363</v>
      </c>
      <c r="B24" s="46" t="s">
        <v>280</v>
      </c>
      <c r="C24" s="47">
        <v>283502</v>
      </c>
      <c r="D24" s="47" t="s">
        <v>339</v>
      </c>
      <c r="E24" s="47" t="s">
        <v>340</v>
      </c>
      <c r="F24" s="47" t="s">
        <v>341</v>
      </c>
      <c r="G24" s="47">
        <v>24381531</v>
      </c>
      <c r="H24" s="124">
        <v>10716.75</v>
      </c>
      <c r="I24" s="45">
        <v>45369</v>
      </c>
      <c r="J24" s="130">
        <v>112031824</v>
      </c>
      <c r="K24" s="48">
        <v>1015</v>
      </c>
      <c r="L24" s="48" t="s">
        <v>325</v>
      </c>
      <c r="M24" s="49"/>
      <c r="N24" s="49"/>
      <c r="O24" s="49"/>
      <c r="P24" s="41" t="s">
        <v>279</v>
      </c>
      <c r="Q24" s="44">
        <v>7.0000000000000007E-2</v>
      </c>
      <c r="R24" s="41"/>
      <c r="S24" s="41">
        <v>206900</v>
      </c>
      <c r="T24" s="41">
        <v>256900</v>
      </c>
      <c r="U24" s="42"/>
    </row>
    <row r="25" spans="1:21">
      <c r="A25" s="45">
        <v>45363</v>
      </c>
      <c r="B25" s="46" t="s">
        <v>280</v>
      </c>
      <c r="C25" s="47">
        <v>283502</v>
      </c>
      <c r="D25" s="47" t="s">
        <v>332</v>
      </c>
      <c r="E25" s="47" t="s">
        <v>342</v>
      </c>
      <c r="F25" s="47"/>
      <c r="G25" s="47" t="s">
        <v>343</v>
      </c>
      <c r="H25" s="124">
        <v>32352.52</v>
      </c>
      <c r="I25" s="45">
        <v>45369</v>
      </c>
      <c r="J25" s="130">
        <v>112031824</v>
      </c>
      <c r="K25" s="48">
        <v>1015</v>
      </c>
      <c r="L25" s="48" t="s">
        <v>325</v>
      </c>
      <c r="M25" s="49"/>
      <c r="N25" s="49"/>
      <c r="O25" s="49"/>
      <c r="P25" s="41" t="s">
        <v>279</v>
      </c>
      <c r="Q25" s="44">
        <v>7.0000000000000007E-2</v>
      </c>
      <c r="R25" s="41"/>
      <c r="S25" s="41">
        <v>206900</v>
      </c>
      <c r="T25" s="41">
        <v>256900</v>
      </c>
      <c r="U25" s="42"/>
    </row>
    <row r="26" spans="1:21">
      <c r="A26" s="45">
        <v>45363</v>
      </c>
      <c r="B26" s="46" t="s">
        <v>274</v>
      </c>
      <c r="C26" s="47">
        <v>283502</v>
      </c>
      <c r="D26" s="47" t="s">
        <v>332</v>
      </c>
      <c r="E26" s="47" t="s">
        <v>344</v>
      </c>
      <c r="F26" s="47" t="s">
        <v>345</v>
      </c>
      <c r="G26" s="47" t="s">
        <v>346</v>
      </c>
      <c r="H26" s="124">
        <v>18919</v>
      </c>
      <c r="I26" s="45">
        <v>45369</v>
      </c>
      <c r="J26" s="130">
        <v>112031824</v>
      </c>
      <c r="K26" s="48">
        <v>1015</v>
      </c>
      <c r="L26" s="48" t="s">
        <v>325</v>
      </c>
      <c r="M26" s="49"/>
      <c r="N26" s="49"/>
      <c r="O26" s="49"/>
      <c r="P26" s="41" t="s">
        <v>279</v>
      </c>
      <c r="Q26" s="44">
        <v>7.0000000000000007E-2</v>
      </c>
      <c r="R26" s="41"/>
      <c r="S26" s="41">
        <v>206900</v>
      </c>
      <c r="T26" s="41">
        <v>256900</v>
      </c>
      <c r="U26" s="42"/>
    </row>
    <row r="27" spans="1:21">
      <c r="A27" s="45">
        <v>45363</v>
      </c>
      <c r="B27" s="46" t="s">
        <v>274</v>
      </c>
      <c r="C27" s="47">
        <v>283502</v>
      </c>
      <c r="D27" s="47" t="s">
        <v>332</v>
      </c>
      <c r="E27" s="47" t="s">
        <v>347</v>
      </c>
      <c r="F27" s="47" t="s">
        <v>348</v>
      </c>
      <c r="G27" s="47" t="s">
        <v>349</v>
      </c>
      <c r="H27" s="124">
        <v>17419</v>
      </c>
      <c r="I27" s="45">
        <v>45369</v>
      </c>
      <c r="J27" s="130">
        <v>112031824</v>
      </c>
      <c r="K27" s="48">
        <v>1015</v>
      </c>
      <c r="L27" s="48" t="s">
        <v>325</v>
      </c>
      <c r="M27" s="49"/>
      <c r="N27" s="49"/>
      <c r="O27" s="49"/>
      <c r="P27" s="41" t="s">
        <v>279</v>
      </c>
      <c r="Q27" s="44">
        <v>7.0000000000000007E-2</v>
      </c>
      <c r="R27" s="41"/>
      <c r="S27" s="41">
        <v>206900</v>
      </c>
      <c r="T27" s="41">
        <v>256900</v>
      </c>
      <c r="U27" s="42"/>
    </row>
    <row r="28" spans="1:21">
      <c r="A28" s="45">
        <v>45363</v>
      </c>
      <c r="B28" s="46" t="s">
        <v>280</v>
      </c>
      <c r="C28" s="47">
        <v>283502</v>
      </c>
      <c r="D28" s="47" t="s">
        <v>332</v>
      </c>
      <c r="E28" s="47" t="s">
        <v>350</v>
      </c>
      <c r="F28" s="47" t="s">
        <v>351</v>
      </c>
      <c r="G28" s="47" t="s">
        <v>352</v>
      </c>
      <c r="H28" s="124">
        <v>27280.5</v>
      </c>
      <c r="I28" s="45">
        <v>45369</v>
      </c>
      <c r="J28" s="130">
        <v>112031824</v>
      </c>
      <c r="K28" s="48">
        <v>1015</v>
      </c>
      <c r="L28" s="48" t="s">
        <v>325</v>
      </c>
      <c r="M28" s="49"/>
      <c r="N28" s="49"/>
      <c r="O28" s="49"/>
      <c r="P28" s="41" t="s">
        <v>279</v>
      </c>
      <c r="Q28" s="44">
        <v>7.0000000000000007E-2</v>
      </c>
      <c r="R28" s="41"/>
      <c r="S28" s="41">
        <v>206900</v>
      </c>
      <c r="T28" s="41">
        <v>256900</v>
      </c>
      <c r="U28" s="42"/>
    </row>
    <row r="29" spans="1:21">
      <c r="A29" s="45">
        <v>45364</v>
      </c>
      <c r="B29" s="46" t="s">
        <v>274</v>
      </c>
      <c r="C29" s="47">
        <v>280841</v>
      </c>
      <c r="D29" s="47" t="s">
        <v>293</v>
      </c>
      <c r="E29" s="47" t="s">
        <v>353</v>
      </c>
      <c r="F29" s="47" t="s">
        <v>354</v>
      </c>
      <c r="G29" s="47" t="s">
        <v>355</v>
      </c>
      <c r="H29" s="124">
        <v>45775.85</v>
      </c>
      <c r="I29" s="45">
        <v>45364</v>
      </c>
      <c r="J29" s="130">
        <v>135043</v>
      </c>
      <c r="K29" s="48">
        <v>1015</v>
      </c>
      <c r="L29" s="48" t="s">
        <v>278</v>
      </c>
      <c r="M29" s="49">
        <v>0</v>
      </c>
      <c r="N29" s="49">
        <v>0</v>
      </c>
      <c r="O29" s="49">
        <v>0</v>
      </c>
      <c r="P29" s="41" t="s">
        <v>279</v>
      </c>
      <c r="Q29" s="44">
        <v>7.0000000000000007E-2</v>
      </c>
      <c r="R29" s="41"/>
      <c r="S29" s="41">
        <v>206900</v>
      </c>
      <c r="T29" s="41">
        <v>256900</v>
      </c>
      <c r="U29" s="42"/>
    </row>
    <row r="30" spans="1:21">
      <c r="A30" s="45">
        <v>45364</v>
      </c>
      <c r="B30" s="46" t="s">
        <v>274</v>
      </c>
      <c r="C30" s="47">
        <v>280842</v>
      </c>
      <c r="D30" s="47" t="s">
        <v>293</v>
      </c>
      <c r="E30" s="47" t="s">
        <v>356</v>
      </c>
      <c r="F30" s="47" t="s">
        <v>357</v>
      </c>
      <c r="G30" s="47" t="s">
        <v>358</v>
      </c>
      <c r="H30" s="124">
        <v>50939.67</v>
      </c>
      <c r="I30" s="45">
        <v>45364</v>
      </c>
      <c r="J30" s="130">
        <v>135044</v>
      </c>
      <c r="K30" s="48">
        <v>1015</v>
      </c>
      <c r="L30" s="48" t="s">
        <v>278</v>
      </c>
      <c r="M30" s="49">
        <v>0</v>
      </c>
      <c r="N30" s="49">
        <v>0</v>
      </c>
      <c r="O30" s="49">
        <v>0</v>
      </c>
      <c r="P30" s="41" t="s">
        <v>279</v>
      </c>
      <c r="Q30" s="44">
        <v>7.0000000000000007E-2</v>
      </c>
      <c r="R30" s="41"/>
      <c r="S30" s="41">
        <v>206900</v>
      </c>
      <c r="T30" s="41">
        <v>256900</v>
      </c>
      <c r="U30" s="42"/>
    </row>
    <row r="31" spans="1:21">
      <c r="A31" s="45">
        <v>45366</v>
      </c>
      <c r="B31" s="46" t="s">
        <v>274</v>
      </c>
      <c r="C31" s="47">
        <v>283501</v>
      </c>
      <c r="D31" s="47" t="s">
        <v>332</v>
      </c>
      <c r="E31" s="47" t="s">
        <v>359</v>
      </c>
      <c r="F31" s="47" t="s">
        <v>360</v>
      </c>
      <c r="G31" s="47" t="s">
        <v>361</v>
      </c>
      <c r="H31" s="124">
        <v>76282.53</v>
      </c>
      <c r="I31" s="45">
        <v>45369</v>
      </c>
      <c r="J31" s="130">
        <v>111031824</v>
      </c>
      <c r="K31" s="48">
        <v>1015</v>
      </c>
      <c r="L31" s="48" t="s">
        <v>325</v>
      </c>
      <c r="M31" s="49"/>
      <c r="N31" s="49"/>
      <c r="O31" s="49"/>
      <c r="P31" s="41" t="s">
        <v>279</v>
      </c>
      <c r="Q31" s="44">
        <v>7.0000000000000007E-2</v>
      </c>
      <c r="R31" s="41"/>
      <c r="S31" s="41">
        <v>206900</v>
      </c>
      <c r="T31" s="41">
        <v>256900</v>
      </c>
      <c r="U31" s="42"/>
    </row>
    <row r="32" spans="1:21">
      <c r="A32" s="45">
        <v>45372</v>
      </c>
      <c r="B32" s="46" t="s">
        <v>274</v>
      </c>
      <c r="C32" s="47">
        <v>281637</v>
      </c>
      <c r="D32" s="47" t="s">
        <v>362</v>
      </c>
      <c r="E32" s="47" t="s">
        <v>363</v>
      </c>
      <c r="F32" s="47" t="s">
        <v>364</v>
      </c>
      <c r="G32" s="47" t="s">
        <v>365</v>
      </c>
      <c r="H32" s="124">
        <v>56000</v>
      </c>
      <c r="I32" s="45">
        <v>45372</v>
      </c>
      <c r="J32" s="130">
        <v>135496</v>
      </c>
      <c r="K32" s="48">
        <v>1015</v>
      </c>
      <c r="L32" s="48" t="s">
        <v>278</v>
      </c>
      <c r="M32" s="49">
        <v>0</v>
      </c>
      <c r="N32" s="49">
        <v>0</v>
      </c>
      <c r="O32" s="49">
        <v>0</v>
      </c>
      <c r="P32" s="41" t="s">
        <v>279</v>
      </c>
      <c r="Q32" s="44">
        <v>7.0000000000000007E-2</v>
      </c>
      <c r="R32" s="41"/>
      <c r="S32" s="41">
        <v>206900</v>
      </c>
      <c r="T32" s="41">
        <v>256900</v>
      </c>
      <c r="U32" s="42"/>
    </row>
    <row r="33" spans="1:21">
      <c r="A33" s="45">
        <v>45372</v>
      </c>
      <c r="B33" s="46" t="s">
        <v>274</v>
      </c>
      <c r="C33" s="47">
        <v>281639</v>
      </c>
      <c r="D33" s="47" t="s">
        <v>362</v>
      </c>
      <c r="E33" s="47" t="s">
        <v>366</v>
      </c>
      <c r="F33" s="47" t="s">
        <v>367</v>
      </c>
      <c r="G33" s="47" t="s">
        <v>368</v>
      </c>
      <c r="H33" s="124">
        <v>47000</v>
      </c>
      <c r="I33" s="45">
        <v>45372</v>
      </c>
      <c r="J33" s="130">
        <v>135496</v>
      </c>
      <c r="K33" s="48">
        <v>1015</v>
      </c>
      <c r="L33" s="48" t="s">
        <v>278</v>
      </c>
      <c r="M33" s="49">
        <v>0</v>
      </c>
      <c r="N33" s="49">
        <v>0</v>
      </c>
      <c r="O33" s="49">
        <v>0</v>
      </c>
      <c r="P33" s="41" t="s">
        <v>279</v>
      </c>
      <c r="Q33" s="44">
        <v>7.0000000000000007E-2</v>
      </c>
      <c r="R33" s="41"/>
      <c r="S33" s="41">
        <v>206900</v>
      </c>
      <c r="T33" s="41">
        <v>256900</v>
      </c>
      <c r="U33" s="42"/>
    </row>
    <row r="34" spans="1:21">
      <c r="A34" s="45">
        <v>45376</v>
      </c>
      <c r="B34" s="46" t="s">
        <v>274</v>
      </c>
      <c r="C34" s="47">
        <v>283504</v>
      </c>
      <c r="D34" s="47" t="s">
        <v>369</v>
      </c>
      <c r="E34" s="47" t="s">
        <v>370</v>
      </c>
      <c r="F34" s="47" t="s">
        <v>371</v>
      </c>
      <c r="G34" s="47" t="s">
        <v>372</v>
      </c>
      <c r="H34" s="124">
        <v>98000</v>
      </c>
      <c r="I34" s="45">
        <v>45376</v>
      </c>
      <c r="J34" s="130">
        <v>112041724</v>
      </c>
      <c r="K34" s="48">
        <v>1015</v>
      </c>
      <c r="L34" s="48" t="s">
        <v>325</v>
      </c>
      <c r="M34" s="49"/>
      <c r="N34" s="49"/>
      <c r="O34" s="49"/>
      <c r="P34" s="41"/>
      <c r="Q34" s="44"/>
      <c r="R34" s="41"/>
      <c r="S34" s="41"/>
      <c r="T34" s="41"/>
      <c r="U34" s="42"/>
    </row>
    <row r="35" spans="1:21">
      <c r="A35" s="45">
        <v>45376</v>
      </c>
      <c r="B35" s="46" t="s">
        <v>274</v>
      </c>
      <c r="C35" s="47">
        <v>283504</v>
      </c>
      <c r="D35" s="47" t="s">
        <v>369</v>
      </c>
      <c r="E35" s="47" t="s">
        <v>373</v>
      </c>
      <c r="F35" s="47" t="s">
        <v>374</v>
      </c>
      <c r="G35" s="47" t="s">
        <v>375</v>
      </c>
      <c r="H35" s="124">
        <v>114000</v>
      </c>
      <c r="I35" s="45">
        <v>45376</v>
      </c>
      <c r="J35" s="130">
        <v>112041724</v>
      </c>
      <c r="K35" s="48">
        <v>1015</v>
      </c>
      <c r="L35" s="48" t="s">
        <v>325</v>
      </c>
      <c r="M35" s="49"/>
      <c r="N35" s="49"/>
      <c r="O35" s="49"/>
      <c r="P35" s="41" t="s">
        <v>279</v>
      </c>
      <c r="Q35" s="44">
        <v>7.0000000000000007E-2</v>
      </c>
      <c r="R35" s="41"/>
      <c r="S35" s="41">
        <v>206900</v>
      </c>
      <c r="T35" s="41">
        <v>256900</v>
      </c>
      <c r="U35" s="42"/>
    </row>
    <row r="36" spans="1:21">
      <c r="A36" s="45">
        <v>45377</v>
      </c>
      <c r="B36" s="46" t="s">
        <v>274</v>
      </c>
      <c r="C36" s="47">
        <v>281937</v>
      </c>
      <c r="D36" s="47" t="s">
        <v>293</v>
      </c>
      <c r="E36" s="47" t="s">
        <v>376</v>
      </c>
      <c r="F36" s="47" t="s">
        <v>377</v>
      </c>
      <c r="G36" s="47" t="s">
        <v>378</v>
      </c>
      <c r="H36" s="124">
        <v>44412.67</v>
      </c>
      <c r="I36" s="45">
        <v>45377</v>
      </c>
      <c r="J36" s="130">
        <v>135495</v>
      </c>
      <c r="K36" s="48">
        <v>1015</v>
      </c>
      <c r="L36" s="48" t="s">
        <v>278</v>
      </c>
      <c r="M36" s="49">
        <v>0</v>
      </c>
      <c r="N36" s="49">
        <v>0</v>
      </c>
      <c r="O36" s="49">
        <v>0</v>
      </c>
      <c r="P36" s="41" t="s">
        <v>279</v>
      </c>
      <c r="Q36" s="44">
        <v>7.0000000000000007E-2</v>
      </c>
      <c r="R36" s="41"/>
      <c r="S36" s="41">
        <v>206900</v>
      </c>
      <c r="T36" s="41">
        <v>256900</v>
      </c>
      <c r="U36" s="42"/>
    </row>
    <row r="37" spans="1:21">
      <c r="A37" s="45">
        <v>45385</v>
      </c>
      <c r="B37" s="46" t="s">
        <v>280</v>
      </c>
      <c r="C37" s="47">
        <v>282590</v>
      </c>
      <c r="D37" s="47" t="s">
        <v>379</v>
      </c>
      <c r="E37" s="47" t="s">
        <v>380</v>
      </c>
      <c r="F37" s="47" t="s">
        <v>381</v>
      </c>
      <c r="G37" s="47">
        <v>3001354</v>
      </c>
      <c r="H37" s="124">
        <v>133242</v>
      </c>
      <c r="I37" s="45">
        <v>45394</v>
      </c>
      <c r="J37" s="130">
        <v>135903</v>
      </c>
      <c r="K37" s="48">
        <v>1015</v>
      </c>
      <c r="L37" s="48" t="s">
        <v>278</v>
      </c>
      <c r="M37" s="49"/>
      <c r="N37" s="49"/>
      <c r="O37" s="49"/>
      <c r="P37" s="41" t="s">
        <v>279</v>
      </c>
      <c r="Q37" s="44">
        <v>7.0000000000000007E-2</v>
      </c>
      <c r="R37" s="41"/>
      <c r="S37" s="41">
        <v>206900</v>
      </c>
      <c r="T37" s="41">
        <v>256900</v>
      </c>
      <c r="U37" s="42"/>
    </row>
    <row r="38" spans="1:21">
      <c r="A38" s="45">
        <v>45397</v>
      </c>
      <c r="B38" s="46" t="s">
        <v>280</v>
      </c>
      <c r="C38" s="47">
        <v>283486</v>
      </c>
      <c r="D38" s="47" t="s">
        <v>382</v>
      </c>
      <c r="E38" s="47" t="s">
        <v>383</v>
      </c>
      <c r="F38" s="47" t="s">
        <v>384</v>
      </c>
      <c r="G38" s="47" t="s">
        <v>385</v>
      </c>
      <c r="H38" s="124">
        <v>751063</v>
      </c>
      <c r="I38" s="45">
        <v>45398</v>
      </c>
      <c r="J38" s="130">
        <v>112041624</v>
      </c>
      <c r="K38" s="48">
        <v>1015</v>
      </c>
      <c r="L38" s="48" t="s">
        <v>325</v>
      </c>
      <c r="M38" s="49"/>
      <c r="N38" s="49"/>
      <c r="O38" s="49"/>
      <c r="P38" s="41" t="s">
        <v>279</v>
      </c>
      <c r="Q38" s="44">
        <v>7.0000000000000007E-2</v>
      </c>
      <c r="R38" s="41"/>
      <c r="S38" s="41">
        <v>206900</v>
      </c>
      <c r="T38" s="41">
        <v>256900</v>
      </c>
      <c r="U38" s="42"/>
    </row>
    <row r="39" spans="1:21">
      <c r="A39" s="45">
        <v>45399</v>
      </c>
      <c r="B39" s="46" t="s">
        <v>280</v>
      </c>
      <c r="C39" s="47">
        <v>285265</v>
      </c>
      <c r="D39" s="47" t="s">
        <v>386</v>
      </c>
      <c r="E39" s="47" t="s">
        <v>387</v>
      </c>
      <c r="F39" s="47" t="s">
        <v>388</v>
      </c>
      <c r="G39" s="47" t="s">
        <v>389</v>
      </c>
      <c r="H39" s="124">
        <v>432480</v>
      </c>
      <c r="I39" s="45">
        <v>45398</v>
      </c>
      <c r="J39" s="130">
        <v>111041724</v>
      </c>
      <c r="K39" s="48">
        <v>1015</v>
      </c>
      <c r="L39" s="48" t="s">
        <v>325</v>
      </c>
      <c r="M39" s="49"/>
      <c r="N39" s="49"/>
      <c r="O39" s="49"/>
      <c r="P39" s="41"/>
      <c r="Q39" s="44"/>
      <c r="R39" s="41"/>
      <c r="S39" s="41"/>
      <c r="T39" s="41"/>
      <c r="U39" s="42"/>
    </row>
    <row r="40" spans="1:21">
      <c r="A40" s="45">
        <v>45404</v>
      </c>
      <c r="B40" s="46" t="s">
        <v>280</v>
      </c>
      <c r="C40" s="47">
        <v>284080</v>
      </c>
      <c r="D40" s="47" t="s">
        <v>379</v>
      </c>
      <c r="E40" s="47" t="s">
        <v>390</v>
      </c>
      <c r="F40" s="47" t="s">
        <v>391</v>
      </c>
      <c r="G40" s="47">
        <v>290172</v>
      </c>
      <c r="H40" s="124">
        <v>127636.02</v>
      </c>
      <c r="I40" s="45">
        <v>45408</v>
      </c>
      <c r="J40" s="130">
        <v>136326</v>
      </c>
      <c r="K40" s="48">
        <v>1015</v>
      </c>
      <c r="L40" s="48" t="s">
        <v>278</v>
      </c>
      <c r="M40" s="49">
        <v>0</v>
      </c>
      <c r="N40" s="49">
        <v>0</v>
      </c>
      <c r="O40" s="49">
        <v>0</v>
      </c>
      <c r="P40" s="41" t="s">
        <v>279</v>
      </c>
      <c r="Q40" s="44">
        <v>7.0000000000000007E-2</v>
      </c>
      <c r="R40" s="41"/>
      <c r="S40" s="41">
        <v>206900</v>
      </c>
      <c r="T40" s="41">
        <v>256900</v>
      </c>
      <c r="U40" s="42"/>
    </row>
    <row r="41" spans="1:21">
      <c r="A41" s="45">
        <v>45405</v>
      </c>
      <c r="B41" s="46" t="s">
        <v>274</v>
      </c>
      <c r="C41" s="47">
        <v>284087</v>
      </c>
      <c r="D41" s="47" t="s">
        <v>293</v>
      </c>
      <c r="E41" s="47" t="s">
        <v>392</v>
      </c>
      <c r="F41" s="47" t="s">
        <v>393</v>
      </c>
      <c r="G41" s="47" t="s">
        <v>394</v>
      </c>
      <c r="H41" s="124">
        <v>52558.1</v>
      </c>
      <c r="I41" s="45">
        <v>45408</v>
      </c>
      <c r="J41" s="130">
        <v>136379</v>
      </c>
      <c r="K41" s="48">
        <v>1015</v>
      </c>
      <c r="L41" s="48" t="s">
        <v>278</v>
      </c>
      <c r="M41" s="49">
        <v>0</v>
      </c>
      <c r="N41" s="49">
        <v>0</v>
      </c>
      <c r="O41" s="49">
        <v>0</v>
      </c>
      <c r="P41" s="41" t="s">
        <v>279</v>
      </c>
      <c r="Q41" s="44">
        <v>7.0000000000000007E-2</v>
      </c>
      <c r="R41" s="41"/>
      <c r="S41" s="41">
        <v>206900</v>
      </c>
      <c r="T41" s="41">
        <v>256900</v>
      </c>
      <c r="U41" s="42"/>
    </row>
    <row r="42" spans="1:21">
      <c r="A42" s="45">
        <v>45405</v>
      </c>
      <c r="B42" s="46" t="s">
        <v>274</v>
      </c>
      <c r="C42" s="47">
        <v>284086</v>
      </c>
      <c r="D42" s="47" t="s">
        <v>293</v>
      </c>
      <c r="E42" s="47" t="s">
        <v>395</v>
      </c>
      <c r="F42" s="47" t="s">
        <v>396</v>
      </c>
      <c r="G42" s="47" t="s">
        <v>397</v>
      </c>
      <c r="H42" s="124">
        <v>60049.17</v>
      </c>
      <c r="I42" s="45">
        <v>45408</v>
      </c>
      <c r="J42" s="130">
        <v>136379</v>
      </c>
      <c r="K42" s="48">
        <v>1015</v>
      </c>
      <c r="L42" s="48" t="s">
        <v>278</v>
      </c>
      <c r="M42" s="49">
        <v>0</v>
      </c>
      <c r="N42" s="49">
        <v>0</v>
      </c>
      <c r="O42" s="49">
        <v>0</v>
      </c>
      <c r="P42" s="41" t="s">
        <v>279</v>
      </c>
      <c r="Q42" s="44">
        <v>7.0000000000000007E-2</v>
      </c>
      <c r="R42" s="41"/>
      <c r="S42" s="41">
        <v>206900</v>
      </c>
      <c r="T42" s="41">
        <v>256900</v>
      </c>
      <c r="U42" s="42"/>
    </row>
    <row r="43" spans="1:21">
      <c r="A43" s="45">
        <v>45405</v>
      </c>
      <c r="B43" s="46" t="s">
        <v>274</v>
      </c>
      <c r="C43" s="47">
        <v>284063</v>
      </c>
      <c r="D43" s="47" t="s">
        <v>398</v>
      </c>
      <c r="E43" s="47" t="s">
        <v>399</v>
      </c>
      <c r="F43" s="47" t="s">
        <v>400</v>
      </c>
      <c r="G43" s="47" t="s">
        <v>401</v>
      </c>
      <c r="H43" s="124">
        <v>10405.75</v>
      </c>
      <c r="I43" s="45">
        <v>45408</v>
      </c>
      <c r="J43" s="130">
        <v>136383</v>
      </c>
      <c r="K43" s="48">
        <v>1015</v>
      </c>
      <c r="L43" s="48" t="s">
        <v>278</v>
      </c>
      <c r="M43" s="49">
        <v>0</v>
      </c>
      <c r="N43" s="49">
        <v>0</v>
      </c>
      <c r="O43" s="49">
        <v>0</v>
      </c>
      <c r="P43" s="41"/>
      <c r="Q43" s="44"/>
      <c r="R43" s="41"/>
      <c r="S43" s="41"/>
      <c r="T43" s="41"/>
      <c r="U43" s="42"/>
    </row>
    <row r="44" spans="1:21">
      <c r="A44" s="45">
        <v>45413</v>
      </c>
      <c r="B44" s="46" t="s">
        <v>274</v>
      </c>
      <c r="C44" s="47">
        <v>285293</v>
      </c>
      <c r="D44" s="47" t="s">
        <v>402</v>
      </c>
      <c r="E44" s="47" t="s">
        <v>403</v>
      </c>
      <c r="F44" s="47" t="s">
        <v>404</v>
      </c>
      <c r="G44" s="47" t="s">
        <v>405</v>
      </c>
      <c r="H44" s="124">
        <v>79000</v>
      </c>
      <c r="I44" s="45">
        <v>45413</v>
      </c>
      <c r="J44" s="130">
        <v>111050124</v>
      </c>
      <c r="K44" s="48">
        <v>1015</v>
      </c>
      <c r="L44" s="48" t="s">
        <v>325</v>
      </c>
      <c r="M44" s="49"/>
      <c r="N44" s="49"/>
      <c r="O44" s="49"/>
      <c r="P44" s="47"/>
      <c r="Q44" s="54"/>
      <c r="R44" s="47"/>
      <c r="S44" s="48"/>
      <c r="T44" s="51"/>
      <c r="U44" s="48"/>
    </row>
    <row r="45" spans="1:21">
      <c r="A45" s="45">
        <v>45415</v>
      </c>
      <c r="B45" s="46" t="s">
        <v>280</v>
      </c>
      <c r="C45" s="47">
        <v>285298</v>
      </c>
      <c r="D45" s="47" t="s">
        <v>406</v>
      </c>
      <c r="E45" s="47" t="s">
        <v>407</v>
      </c>
      <c r="F45" s="47" t="s">
        <v>408</v>
      </c>
      <c r="G45" s="47" t="s">
        <v>409</v>
      </c>
      <c r="H45" s="124">
        <v>109900</v>
      </c>
      <c r="I45" s="45">
        <v>45415</v>
      </c>
      <c r="J45" s="130">
        <v>111050324</v>
      </c>
      <c r="K45" s="48">
        <v>1015</v>
      </c>
      <c r="L45" s="48" t="s">
        <v>325</v>
      </c>
      <c r="M45" s="49"/>
      <c r="N45" s="49"/>
      <c r="O45" s="49"/>
      <c r="P45" s="47"/>
      <c r="Q45" s="54"/>
      <c r="R45" s="47"/>
      <c r="S45" s="48"/>
      <c r="T45" s="51"/>
      <c r="U45" s="48"/>
    </row>
    <row r="46" spans="1:21">
      <c r="A46" s="45">
        <v>45420</v>
      </c>
      <c r="B46" s="46" t="s">
        <v>280</v>
      </c>
      <c r="C46" s="47">
        <v>285290</v>
      </c>
      <c r="D46" s="47" t="s">
        <v>410</v>
      </c>
      <c r="E46" s="47" t="s">
        <v>411</v>
      </c>
      <c r="F46" s="47" t="s">
        <v>412</v>
      </c>
      <c r="G46" s="47" t="s">
        <v>413</v>
      </c>
      <c r="H46" s="124">
        <v>298530</v>
      </c>
      <c r="I46" s="45">
        <v>45420</v>
      </c>
      <c r="J46" s="130">
        <v>13674</v>
      </c>
      <c r="K46" s="48">
        <v>1015</v>
      </c>
      <c r="L46" s="48" t="s">
        <v>278</v>
      </c>
      <c r="M46" s="49">
        <v>0</v>
      </c>
      <c r="N46" s="49">
        <v>0</v>
      </c>
      <c r="O46" s="49">
        <v>0</v>
      </c>
      <c r="P46" s="47"/>
      <c r="Q46" s="54"/>
      <c r="R46" s="47"/>
      <c r="S46" s="48"/>
      <c r="T46" s="51"/>
      <c r="U46" s="48"/>
    </row>
    <row r="47" spans="1:21">
      <c r="A47" s="45">
        <v>45421</v>
      </c>
      <c r="B47" s="46" t="s">
        <v>280</v>
      </c>
      <c r="C47" s="47">
        <v>285481</v>
      </c>
      <c r="D47" s="47" t="s">
        <v>414</v>
      </c>
      <c r="E47" s="47" t="s">
        <v>415</v>
      </c>
      <c r="F47" s="47" t="s">
        <v>416</v>
      </c>
      <c r="G47" s="47" t="s">
        <v>417</v>
      </c>
      <c r="H47" s="124">
        <v>7951.98</v>
      </c>
      <c r="I47" s="45">
        <v>45421</v>
      </c>
      <c r="J47" s="130">
        <v>137626</v>
      </c>
      <c r="K47" s="48">
        <v>1015</v>
      </c>
      <c r="L47" s="48" t="s">
        <v>278</v>
      </c>
      <c r="M47" s="49">
        <v>0</v>
      </c>
      <c r="N47" s="49">
        <v>0</v>
      </c>
      <c r="O47" s="49">
        <v>0</v>
      </c>
      <c r="P47" s="47"/>
      <c r="Q47" s="54"/>
      <c r="R47" s="47"/>
      <c r="S47" s="48"/>
      <c r="T47" s="51"/>
      <c r="U47" s="48"/>
    </row>
    <row r="48" spans="1:21">
      <c r="A48" s="45">
        <v>45427</v>
      </c>
      <c r="B48" s="46" t="s">
        <v>280</v>
      </c>
      <c r="C48" s="47">
        <v>285983</v>
      </c>
      <c r="D48" s="47" t="s">
        <v>418</v>
      </c>
      <c r="E48" s="47" t="s">
        <v>419</v>
      </c>
      <c r="F48" s="47" t="s">
        <v>420</v>
      </c>
      <c r="G48" s="47" t="s">
        <v>421</v>
      </c>
      <c r="H48" s="125">
        <v>47823</v>
      </c>
      <c r="I48" s="45">
        <v>45427</v>
      </c>
      <c r="J48" s="130" t="s">
        <v>422</v>
      </c>
      <c r="K48" s="48">
        <v>1015</v>
      </c>
      <c r="L48" s="48" t="s">
        <v>325</v>
      </c>
      <c r="M48" s="49">
        <v>0</v>
      </c>
      <c r="N48" s="49">
        <v>0</v>
      </c>
      <c r="O48" s="49">
        <v>0</v>
      </c>
      <c r="P48" s="47"/>
      <c r="Q48" s="54"/>
      <c r="R48" s="47"/>
      <c r="S48" s="48"/>
      <c r="T48" s="51"/>
      <c r="U48" s="48"/>
    </row>
    <row r="49" spans="1:21">
      <c r="A49" s="45">
        <v>45432</v>
      </c>
      <c r="B49" s="46" t="s">
        <v>280</v>
      </c>
      <c r="C49" s="47">
        <v>286449</v>
      </c>
      <c r="D49" s="47" t="s">
        <v>398</v>
      </c>
      <c r="E49" s="47" t="s">
        <v>423</v>
      </c>
      <c r="F49" s="47" t="s">
        <v>424</v>
      </c>
      <c r="G49" s="47" t="s">
        <v>425</v>
      </c>
      <c r="H49" s="124">
        <v>10165</v>
      </c>
      <c r="I49" s="45">
        <v>45436</v>
      </c>
      <c r="J49" s="130">
        <v>137223</v>
      </c>
      <c r="K49" s="48">
        <v>1015</v>
      </c>
      <c r="L49" s="48" t="s">
        <v>278</v>
      </c>
      <c r="M49" s="49">
        <v>0</v>
      </c>
      <c r="N49" s="49">
        <v>0</v>
      </c>
      <c r="O49" s="49">
        <v>0</v>
      </c>
      <c r="P49" s="47"/>
      <c r="Q49" s="54"/>
      <c r="R49" s="47"/>
      <c r="S49" s="48"/>
      <c r="T49" s="51"/>
      <c r="U49" s="48"/>
    </row>
    <row r="50" spans="1:21">
      <c r="A50" s="45">
        <v>45432</v>
      </c>
      <c r="B50" s="46" t="s">
        <v>280</v>
      </c>
      <c r="C50" s="47">
        <v>286449</v>
      </c>
      <c r="D50" s="47" t="s">
        <v>398</v>
      </c>
      <c r="E50" s="47" t="s">
        <v>426</v>
      </c>
      <c r="F50" s="47" t="s">
        <v>427</v>
      </c>
      <c r="G50" s="47" t="s">
        <v>428</v>
      </c>
      <c r="H50" s="124">
        <v>10165</v>
      </c>
      <c r="I50" s="45">
        <v>45436</v>
      </c>
      <c r="J50" s="130">
        <v>137223</v>
      </c>
      <c r="K50" s="48">
        <v>1015</v>
      </c>
      <c r="L50" s="48" t="s">
        <v>278</v>
      </c>
      <c r="M50" s="49">
        <v>0</v>
      </c>
      <c r="N50" s="49">
        <v>0</v>
      </c>
      <c r="O50" s="49">
        <v>0</v>
      </c>
      <c r="P50" s="47"/>
      <c r="Q50" s="54"/>
      <c r="R50" s="47"/>
      <c r="S50" s="48"/>
      <c r="T50" s="51"/>
      <c r="U50" s="48"/>
    </row>
    <row r="51" spans="1:21">
      <c r="A51" s="45">
        <v>45436</v>
      </c>
      <c r="B51" s="46" t="s">
        <v>280</v>
      </c>
      <c r="C51" s="47">
        <v>1118</v>
      </c>
      <c r="D51" s="47" t="s">
        <v>332</v>
      </c>
      <c r="E51" s="47" t="s">
        <v>429</v>
      </c>
      <c r="F51" s="47" t="s">
        <v>430</v>
      </c>
      <c r="G51" s="47" t="s">
        <v>431</v>
      </c>
      <c r="H51" s="124">
        <v>32200.04</v>
      </c>
      <c r="I51" s="45">
        <v>45436</v>
      </c>
      <c r="J51" s="130">
        <v>111052424</v>
      </c>
      <c r="K51" s="48">
        <v>1015</v>
      </c>
      <c r="L51" s="48" t="s">
        <v>325</v>
      </c>
      <c r="M51" s="49">
        <v>0</v>
      </c>
      <c r="N51" s="49">
        <v>0</v>
      </c>
      <c r="O51" s="49">
        <v>0</v>
      </c>
      <c r="P51" s="47"/>
      <c r="Q51" s="50"/>
      <c r="R51" s="47"/>
      <c r="S51" s="48"/>
      <c r="T51" s="51"/>
      <c r="U51" s="48"/>
    </row>
    <row r="52" spans="1:21">
      <c r="A52" s="45">
        <v>45442</v>
      </c>
      <c r="B52" s="46" t="s">
        <v>274</v>
      </c>
      <c r="C52" s="47">
        <v>290245</v>
      </c>
      <c r="D52" s="47" t="s">
        <v>293</v>
      </c>
      <c r="E52" s="47" t="s">
        <v>432</v>
      </c>
      <c r="F52" s="47" t="s">
        <v>433</v>
      </c>
      <c r="G52" s="47" t="s">
        <v>434</v>
      </c>
      <c r="H52" s="124">
        <v>51146.18</v>
      </c>
      <c r="I52" s="45">
        <v>45442</v>
      </c>
      <c r="J52" s="130">
        <v>139207</v>
      </c>
      <c r="K52" s="48">
        <v>1015</v>
      </c>
      <c r="L52" s="48" t="s">
        <v>278</v>
      </c>
      <c r="M52" s="49">
        <v>0</v>
      </c>
      <c r="N52" s="49">
        <v>0</v>
      </c>
      <c r="O52" s="49">
        <v>0</v>
      </c>
      <c r="P52" s="47"/>
      <c r="Q52" s="50"/>
      <c r="R52" s="47"/>
      <c r="S52" s="48"/>
      <c r="T52" s="51"/>
      <c r="U52" s="48"/>
    </row>
    <row r="53" spans="1:21">
      <c r="A53" s="45">
        <v>45444</v>
      </c>
      <c r="B53" s="46" t="s">
        <v>280</v>
      </c>
      <c r="C53" s="47">
        <v>289736</v>
      </c>
      <c r="D53" s="47" t="s">
        <v>435</v>
      </c>
      <c r="E53" s="47" t="s">
        <v>436</v>
      </c>
      <c r="F53" s="47" t="s">
        <v>437</v>
      </c>
      <c r="G53" s="47" t="s">
        <v>438</v>
      </c>
      <c r="H53" s="124">
        <v>360616.45</v>
      </c>
      <c r="I53" s="45">
        <v>45444</v>
      </c>
      <c r="J53" s="130">
        <v>222062424</v>
      </c>
      <c r="K53" s="48">
        <v>1015</v>
      </c>
      <c r="L53" s="48" t="s">
        <v>325</v>
      </c>
      <c r="M53" s="49">
        <v>0</v>
      </c>
      <c r="N53" s="49">
        <v>0</v>
      </c>
      <c r="O53" s="49">
        <v>0</v>
      </c>
      <c r="P53" s="47"/>
      <c r="Q53" s="50"/>
      <c r="R53" s="47"/>
      <c r="S53" s="48"/>
      <c r="T53" s="51"/>
      <c r="U53" s="48"/>
    </row>
    <row r="54" spans="1:21">
      <c r="A54" s="45">
        <v>45449</v>
      </c>
      <c r="B54" s="46" t="s">
        <v>280</v>
      </c>
      <c r="C54" s="47">
        <v>287909</v>
      </c>
      <c r="D54" s="47" t="s">
        <v>439</v>
      </c>
      <c r="E54" s="47" t="s">
        <v>440</v>
      </c>
      <c r="F54" s="47" t="s">
        <v>441</v>
      </c>
      <c r="G54" s="47" t="s">
        <v>441</v>
      </c>
      <c r="H54" s="124">
        <v>877.89</v>
      </c>
      <c r="I54" s="45">
        <v>45449</v>
      </c>
      <c r="J54" s="130">
        <v>137939</v>
      </c>
      <c r="K54" s="48">
        <v>1015</v>
      </c>
      <c r="L54" s="48" t="s">
        <v>278</v>
      </c>
      <c r="M54" s="49">
        <v>0</v>
      </c>
      <c r="N54" s="49">
        <v>0</v>
      </c>
      <c r="O54" s="49">
        <v>0</v>
      </c>
      <c r="P54" s="47"/>
      <c r="Q54" s="50"/>
      <c r="R54" s="47"/>
      <c r="S54" s="48"/>
      <c r="T54" s="51"/>
      <c r="U54" s="48"/>
    </row>
    <row r="55" spans="1:21">
      <c r="A55" s="45">
        <v>45449</v>
      </c>
      <c r="B55" s="46" t="s">
        <v>274</v>
      </c>
      <c r="C55" s="47">
        <v>290250</v>
      </c>
      <c r="D55" s="47" t="s">
        <v>293</v>
      </c>
      <c r="E55" s="47" t="s">
        <v>442</v>
      </c>
      <c r="F55" s="47" t="s">
        <v>443</v>
      </c>
      <c r="G55" s="47" t="s">
        <v>444</v>
      </c>
      <c r="H55" s="124">
        <v>51146.18</v>
      </c>
      <c r="I55" s="45">
        <v>45449</v>
      </c>
      <c r="J55" s="130">
        <v>139207</v>
      </c>
      <c r="K55" s="48">
        <v>1015</v>
      </c>
      <c r="L55" s="48" t="s">
        <v>278</v>
      </c>
      <c r="M55" s="49">
        <v>0</v>
      </c>
      <c r="N55" s="49">
        <v>0</v>
      </c>
      <c r="O55" s="49">
        <v>0</v>
      </c>
      <c r="P55" s="47"/>
      <c r="Q55" s="50"/>
      <c r="R55" s="47"/>
      <c r="S55" s="48"/>
      <c r="T55" s="51"/>
      <c r="U55" s="48"/>
    </row>
    <row r="56" spans="1:21">
      <c r="A56" s="45">
        <v>45449</v>
      </c>
      <c r="B56" s="46" t="s">
        <v>274</v>
      </c>
      <c r="C56" s="47">
        <v>290252</v>
      </c>
      <c r="D56" s="47" t="s">
        <v>293</v>
      </c>
      <c r="E56" s="47" t="s">
        <v>445</v>
      </c>
      <c r="F56" s="47" t="s">
        <v>446</v>
      </c>
      <c r="G56" s="47" t="s">
        <v>447</v>
      </c>
      <c r="H56" s="124">
        <v>51146.18</v>
      </c>
      <c r="I56" s="45">
        <v>45449</v>
      </c>
      <c r="J56" s="130">
        <v>139207</v>
      </c>
      <c r="K56" s="48">
        <v>1015</v>
      </c>
      <c r="L56" s="48" t="s">
        <v>278</v>
      </c>
      <c r="M56" s="49">
        <v>0</v>
      </c>
      <c r="N56" s="49">
        <v>0</v>
      </c>
      <c r="O56" s="49">
        <v>0</v>
      </c>
      <c r="P56" s="47"/>
      <c r="Q56" s="50"/>
      <c r="R56" s="47"/>
      <c r="S56" s="48"/>
      <c r="T56" s="51"/>
      <c r="U56" s="48"/>
    </row>
    <row r="57" spans="1:21">
      <c r="A57" s="45">
        <v>45453</v>
      </c>
      <c r="B57" s="46" t="s">
        <v>280</v>
      </c>
      <c r="C57" s="47">
        <v>288328</v>
      </c>
      <c r="D57" s="47" t="s">
        <v>448</v>
      </c>
      <c r="E57" s="47" t="s">
        <v>449</v>
      </c>
      <c r="F57" s="47" t="s">
        <v>450</v>
      </c>
      <c r="G57" s="47" t="s">
        <v>451</v>
      </c>
      <c r="H57" s="124">
        <v>116131.69</v>
      </c>
      <c r="I57" s="45">
        <v>45453</v>
      </c>
      <c r="J57" s="130">
        <v>138290</v>
      </c>
      <c r="K57" s="48">
        <v>1015</v>
      </c>
      <c r="L57" s="48" t="s">
        <v>278</v>
      </c>
      <c r="M57" s="49">
        <v>0</v>
      </c>
      <c r="N57" s="49">
        <v>0</v>
      </c>
      <c r="O57" s="49">
        <v>0</v>
      </c>
      <c r="P57" s="47"/>
      <c r="Q57" s="50"/>
      <c r="R57" s="47"/>
      <c r="S57" s="48"/>
      <c r="T57" s="51"/>
      <c r="U57" s="48"/>
    </row>
    <row r="58" spans="1:21">
      <c r="A58" s="45">
        <v>45456</v>
      </c>
      <c r="B58" s="46" t="s">
        <v>274</v>
      </c>
      <c r="C58" s="47">
        <v>289741</v>
      </c>
      <c r="D58" s="47" t="s">
        <v>293</v>
      </c>
      <c r="E58" s="47" t="s">
        <v>452</v>
      </c>
      <c r="F58" s="47" t="s">
        <v>453</v>
      </c>
      <c r="G58" s="47" t="s">
        <v>454</v>
      </c>
      <c r="H58" s="124">
        <v>47412.95</v>
      </c>
      <c r="I58" s="45">
        <v>45456</v>
      </c>
      <c r="J58" s="130">
        <v>138350</v>
      </c>
      <c r="K58" s="48">
        <v>1015</v>
      </c>
      <c r="L58" s="48" t="s">
        <v>278</v>
      </c>
      <c r="M58" s="49">
        <v>0</v>
      </c>
      <c r="N58" s="49">
        <v>0</v>
      </c>
      <c r="O58" s="49">
        <v>0</v>
      </c>
      <c r="P58" s="47"/>
      <c r="Q58" s="50"/>
      <c r="R58" s="47"/>
      <c r="S58" s="48"/>
      <c r="T58" s="51"/>
      <c r="U58" s="48"/>
    </row>
    <row r="59" spans="1:21">
      <c r="A59" s="45">
        <v>45474</v>
      </c>
      <c r="B59" s="46" t="s">
        <v>274</v>
      </c>
      <c r="C59" s="47">
        <v>291467</v>
      </c>
      <c r="D59" s="47" t="s">
        <v>455</v>
      </c>
      <c r="E59" s="47" t="s">
        <v>456</v>
      </c>
      <c r="F59" s="47" t="s">
        <v>457</v>
      </c>
      <c r="G59" s="47" t="s">
        <v>458</v>
      </c>
      <c r="H59" s="124">
        <v>72053.55</v>
      </c>
      <c r="I59" s="45">
        <v>45474</v>
      </c>
      <c r="J59" s="130">
        <v>13951</v>
      </c>
      <c r="K59" s="48">
        <v>1015</v>
      </c>
      <c r="L59" s="48" t="s">
        <v>278</v>
      </c>
      <c r="M59" s="49">
        <v>0</v>
      </c>
      <c r="N59" s="49">
        <v>0</v>
      </c>
      <c r="O59" s="49">
        <v>0</v>
      </c>
      <c r="P59" s="47"/>
      <c r="Q59" s="50"/>
      <c r="R59" s="47"/>
      <c r="S59" s="48"/>
      <c r="T59" s="51"/>
      <c r="U59" s="48"/>
    </row>
    <row r="60" spans="1:21">
      <c r="A60" s="45">
        <v>45474</v>
      </c>
      <c r="B60" s="46" t="s">
        <v>274</v>
      </c>
      <c r="C60" s="47">
        <v>291466</v>
      </c>
      <c r="D60" s="47" t="s">
        <v>455</v>
      </c>
      <c r="E60" s="47" t="s">
        <v>459</v>
      </c>
      <c r="F60" s="47" t="s">
        <v>460</v>
      </c>
      <c r="G60" s="47" t="s">
        <v>461</v>
      </c>
      <c r="H60" s="124">
        <v>52332.21</v>
      </c>
      <c r="I60" s="45">
        <v>45474</v>
      </c>
      <c r="J60" s="130">
        <v>13941</v>
      </c>
      <c r="K60" s="48">
        <v>1015</v>
      </c>
      <c r="L60" s="48" t="s">
        <v>278</v>
      </c>
      <c r="M60" s="49">
        <v>0</v>
      </c>
      <c r="N60" s="49">
        <v>0</v>
      </c>
      <c r="O60" s="49">
        <v>0</v>
      </c>
      <c r="P60" s="47"/>
      <c r="Q60" s="50"/>
      <c r="R60" s="47"/>
      <c r="S60" s="48"/>
      <c r="T60" s="51"/>
      <c r="U60" s="48"/>
    </row>
    <row r="61" spans="1:21">
      <c r="A61" s="45">
        <v>45478</v>
      </c>
      <c r="B61" s="46" t="s">
        <v>274</v>
      </c>
      <c r="C61" s="47">
        <v>291465</v>
      </c>
      <c r="D61" s="47" t="s">
        <v>455</v>
      </c>
      <c r="E61" s="47" t="s">
        <v>462</v>
      </c>
      <c r="F61" s="47" t="s">
        <v>463</v>
      </c>
      <c r="G61" s="47" t="s">
        <v>464</v>
      </c>
      <c r="H61" s="124">
        <v>61662.12</v>
      </c>
      <c r="I61" s="45">
        <v>45478</v>
      </c>
      <c r="J61" s="130">
        <v>13942</v>
      </c>
      <c r="K61" s="48">
        <v>1015</v>
      </c>
      <c r="L61" s="48" t="s">
        <v>278</v>
      </c>
      <c r="M61" s="49">
        <v>0</v>
      </c>
      <c r="N61" s="49">
        <v>0</v>
      </c>
      <c r="O61" s="49">
        <v>0</v>
      </c>
      <c r="P61" s="47"/>
      <c r="Q61" s="50"/>
      <c r="R61" s="47"/>
      <c r="S61" s="48"/>
      <c r="T61" s="51"/>
      <c r="U61" s="48"/>
    </row>
    <row r="62" spans="1:21">
      <c r="A62" s="45">
        <v>45483</v>
      </c>
      <c r="B62" s="46" t="s">
        <v>274</v>
      </c>
      <c r="C62" s="47">
        <v>291417</v>
      </c>
      <c r="D62" s="47" t="s">
        <v>321</v>
      </c>
      <c r="E62" s="47" t="s">
        <v>465</v>
      </c>
      <c r="F62" s="47" t="s">
        <v>466</v>
      </c>
      <c r="G62" s="47" t="s">
        <v>467</v>
      </c>
      <c r="H62" s="124">
        <v>67380</v>
      </c>
      <c r="I62" s="45">
        <v>45483</v>
      </c>
      <c r="J62" s="130">
        <v>221071024</v>
      </c>
      <c r="K62" s="48">
        <v>1015</v>
      </c>
      <c r="L62" s="48" t="s">
        <v>325</v>
      </c>
      <c r="M62" s="49">
        <v>0</v>
      </c>
      <c r="N62" s="49">
        <v>0</v>
      </c>
      <c r="O62" s="49">
        <v>0</v>
      </c>
      <c r="P62" s="47"/>
      <c r="Q62" s="50"/>
      <c r="R62" s="47"/>
      <c r="S62" s="48"/>
      <c r="T62" s="51"/>
      <c r="U62" s="48"/>
    </row>
    <row r="63" spans="1:21">
      <c r="A63" s="45">
        <v>45483</v>
      </c>
      <c r="B63" s="46" t="s">
        <v>274</v>
      </c>
      <c r="C63" s="47">
        <v>291403</v>
      </c>
      <c r="D63" s="47" t="s">
        <v>321</v>
      </c>
      <c r="E63" s="47" t="s">
        <v>465</v>
      </c>
      <c r="F63" s="47" t="s">
        <v>468</v>
      </c>
      <c r="G63" s="47" t="s">
        <v>469</v>
      </c>
      <c r="H63" s="124">
        <v>67380</v>
      </c>
      <c r="I63" s="45">
        <v>45483</v>
      </c>
      <c r="J63" s="130">
        <v>222071024</v>
      </c>
      <c r="K63" s="48">
        <v>1015</v>
      </c>
      <c r="L63" s="48" t="s">
        <v>325</v>
      </c>
      <c r="M63" s="49">
        <v>0</v>
      </c>
      <c r="N63" s="49">
        <v>0</v>
      </c>
      <c r="O63" s="49">
        <v>0</v>
      </c>
      <c r="P63" s="47"/>
      <c r="Q63" s="50"/>
      <c r="R63" s="47"/>
      <c r="S63" s="48"/>
      <c r="T63" s="51"/>
      <c r="U63" s="48"/>
    </row>
    <row r="64" spans="1:21">
      <c r="A64" s="45">
        <v>45489</v>
      </c>
      <c r="B64" s="46" t="s">
        <v>280</v>
      </c>
      <c r="C64" s="47">
        <v>292988</v>
      </c>
      <c r="D64" s="47" t="s">
        <v>414</v>
      </c>
      <c r="E64" s="47" t="s">
        <v>470</v>
      </c>
      <c r="F64" s="47" t="s">
        <v>471</v>
      </c>
      <c r="G64" s="47" t="s">
        <v>472</v>
      </c>
      <c r="H64" s="124">
        <v>29069.759999999998</v>
      </c>
      <c r="I64" s="45">
        <v>45489</v>
      </c>
      <c r="J64" s="130">
        <v>139330</v>
      </c>
      <c r="K64" s="48">
        <v>1015</v>
      </c>
      <c r="L64" s="48" t="s">
        <v>278</v>
      </c>
      <c r="M64" s="49">
        <v>0</v>
      </c>
      <c r="N64" s="49">
        <v>0</v>
      </c>
      <c r="O64" s="49">
        <v>0</v>
      </c>
      <c r="P64" s="47"/>
      <c r="Q64" s="50"/>
      <c r="R64" s="47"/>
      <c r="S64" s="48"/>
      <c r="T64" s="51"/>
      <c r="U64" s="48"/>
    </row>
    <row r="65" spans="1:21">
      <c r="A65" s="45">
        <v>45497</v>
      </c>
      <c r="B65" s="46" t="s">
        <v>280</v>
      </c>
      <c r="C65" s="47">
        <v>292990</v>
      </c>
      <c r="D65" s="47">
        <v>1004561</v>
      </c>
      <c r="E65" s="47" t="s">
        <v>473</v>
      </c>
      <c r="F65" s="47" t="s">
        <v>474</v>
      </c>
      <c r="G65" s="47" t="s">
        <v>475</v>
      </c>
      <c r="H65" s="124">
        <v>59187.05</v>
      </c>
      <c r="I65" s="45">
        <v>45497</v>
      </c>
      <c r="J65" s="130">
        <v>140086</v>
      </c>
      <c r="K65" s="48">
        <v>1015</v>
      </c>
      <c r="L65" s="48" t="s">
        <v>278</v>
      </c>
      <c r="M65" s="49">
        <v>0</v>
      </c>
      <c r="N65" s="49">
        <v>0</v>
      </c>
      <c r="O65" s="49">
        <v>0</v>
      </c>
      <c r="P65" s="47"/>
      <c r="Q65" s="50"/>
      <c r="R65" s="47"/>
      <c r="S65" s="48"/>
      <c r="T65" s="51"/>
      <c r="U65" s="48"/>
    </row>
    <row r="66" spans="1:21">
      <c r="A66" s="45">
        <v>45502</v>
      </c>
      <c r="B66" s="46" t="s">
        <v>280</v>
      </c>
      <c r="C66" s="47">
        <v>291092</v>
      </c>
      <c r="D66" s="47">
        <v>1005281</v>
      </c>
      <c r="E66" s="47" t="s">
        <v>476</v>
      </c>
      <c r="F66" t="s">
        <v>477</v>
      </c>
      <c r="G66" s="47" t="s">
        <v>478</v>
      </c>
      <c r="H66" s="124">
        <v>100149.86</v>
      </c>
      <c r="I66" s="45">
        <v>45502</v>
      </c>
      <c r="J66" s="130">
        <v>139672</v>
      </c>
      <c r="K66" s="48">
        <v>1015</v>
      </c>
      <c r="L66" s="48" t="s">
        <v>278</v>
      </c>
      <c r="M66" s="49">
        <v>0</v>
      </c>
      <c r="N66" s="49">
        <v>0</v>
      </c>
      <c r="O66" s="49">
        <v>0</v>
      </c>
      <c r="P66" s="47"/>
      <c r="Q66" s="50"/>
      <c r="R66" s="47"/>
      <c r="S66" s="48"/>
      <c r="T66" s="51"/>
      <c r="U66" s="48"/>
    </row>
    <row r="67" spans="1:21">
      <c r="A67" s="45">
        <v>45504</v>
      </c>
      <c r="B67" s="46" t="s">
        <v>274</v>
      </c>
      <c r="C67" s="47">
        <v>293732</v>
      </c>
      <c r="D67" s="47" t="s">
        <v>455</v>
      </c>
      <c r="E67" s="47" t="s">
        <v>479</v>
      </c>
      <c r="F67" s="47" t="s">
        <v>480</v>
      </c>
      <c r="G67" s="47" t="s">
        <v>481</v>
      </c>
      <c r="H67" s="124">
        <v>61629.26</v>
      </c>
      <c r="I67" s="45">
        <v>45504</v>
      </c>
      <c r="J67" s="130">
        <v>139494</v>
      </c>
      <c r="K67" s="48">
        <v>1015</v>
      </c>
      <c r="L67" s="48" t="s">
        <v>278</v>
      </c>
      <c r="M67" s="49">
        <v>0</v>
      </c>
      <c r="N67" s="49">
        <v>0</v>
      </c>
      <c r="O67" s="49">
        <v>0</v>
      </c>
      <c r="P67" s="47"/>
      <c r="Q67" s="50"/>
      <c r="R67" s="47"/>
      <c r="S67" s="48"/>
      <c r="T67" s="51"/>
      <c r="U67" s="48"/>
    </row>
    <row r="68" spans="1:21">
      <c r="A68" s="45">
        <v>45517</v>
      </c>
      <c r="B68" s="46" t="s">
        <v>274</v>
      </c>
      <c r="C68" s="47">
        <v>294930</v>
      </c>
      <c r="D68" s="47" t="s">
        <v>398</v>
      </c>
      <c r="E68" s="47" t="s">
        <v>482</v>
      </c>
      <c r="F68" s="161" t="s">
        <v>483</v>
      </c>
      <c r="G68" s="47" t="s">
        <v>484</v>
      </c>
      <c r="H68" s="124">
        <v>10165</v>
      </c>
      <c r="I68" s="45">
        <v>45517</v>
      </c>
      <c r="J68" s="130">
        <v>139948</v>
      </c>
      <c r="K68" s="48">
        <v>1015</v>
      </c>
      <c r="L68" s="48" t="s">
        <v>278</v>
      </c>
      <c r="M68" s="49">
        <v>0</v>
      </c>
      <c r="N68" s="49">
        <v>0</v>
      </c>
      <c r="O68" s="49">
        <v>0</v>
      </c>
      <c r="P68" s="47"/>
      <c r="Q68" s="50"/>
      <c r="R68" s="47"/>
      <c r="S68" s="48"/>
      <c r="T68" s="51"/>
      <c r="U68" s="48"/>
    </row>
    <row r="69" spans="1:21">
      <c r="A69" s="45">
        <v>45519</v>
      </c>
      <c r="B69" s="46" t="s">
        <v>274</v>
      </c>
      <c r="C69" s="47">
        <v>295444</v>
      </c>
      <c r="D69" s="47">
        <v>1003898</v>
      </c>
      <c r="E69" s="47" t="s">
        <v>485</v>
      </c>
      <c r="F69" s="47" t="s">
        <v>486</v>
      </c>
      <c r="G69" s="47" t="s">
        <v>487</v>
      </c>
      <c r="H69" s="124">
        <v>53000</v>
      </c>
      <c r="I69" s="45">
        <v>45519</v>
      </c>
      <c r="J69" s="130">
        <v>233081524</v>
      </c>
      <c r="K69" s="48">
        <v>1015</v>
      </c>
      <c r="L69" s="48" t="s">
        <v>278</v>
      </c>
      <c r="M69" s="49">
        <v>0</v>
      </c>
      <c r="N69" s="49">
        <v>0</v>
      </c>
      <c r="O69" s="49">
        <v>0</v>
      </c>
      <c r="P69" s="47"/>
      <c r="Q69" s="50"/>
      <c r="R69" s="47"/>
      <c r="S69" s="48"/>
      <c r="T69" s="51"/>
      <c r="U69" s="48"/>
    </row>
    <row r="70" spans="1:21">
      <c r="A70" s="45">
        <v>45519</v>
      </c>
      <c r="B70" s="46" t="s">
        <v>274</v>
      </c>
      <c r="C70" s="47">
        <v>295443</v>
      </c>
      <c r="D70" s="47">
        <v>1003898</v>
      </c>
      <c r="E70" s="47" t="s">
        <v>488</v>
      </c>
      <c r="F70" s="47" t="s">
        <v>489</v>
      </c>
      <c r="G70" s="47" t="s">
        <v>490</v>
      </c>
      <c r="H70" s="124">
        <v>44000</v>
      </c>
      <c r="I70" s="45">
        <v>45519</v>
      </c>
      <c r="J70" s="130">
        <v>232081524</v>
      </c>
      <c r="K70" s="48">
        <v>1015</v>
      </c>
      <c r="L70" s="48" t="s">
        <v>278</v>
      </c>
      <c r="M70" s="49">
        <v>0</v>
      </c>
      <c r="N70" s="49">
        <v>0</v>
      </c>
      <c r="O70" s="49">
        <v>0</v>
      </c>
      <c r="P70" s="47"/>
      <c r="Q70" s="50"/>
      <c r="R70" s="47"/>
      <c r="S70" s="48"/>
      <c r="T70" s="51"/>
      <c r="U70" s="48"/>
    </row>
    <row r="71" spans="1:21">
      <c r="A71" s="45">
        <v>45520</v>
      </c>
      <c r="B71" s="46" t="s">
        <v>274</v>
      </c>
      <c r="C71" s="47">
        <v>295298</v>
      </c>
      <c r="D71" s="47">
        <v>1004373</v>
      </c>
      <c r="E71" s="47" t="s">
        <v>491</v>
      </c>
      <c r="F71" s="47" t="s">
        <v>492</v>
      </c>
      <c r="G71" s="47" t="s">
        <v>493</v>
      </c>
      <c r="H71" s="124">
        <v>49106.76</v>
      </c>
      <c r="I71" s="45">
        <v>45520</v>
      </c>
      <c r="J71" s="130">
        <v>140237</v>
      </c>
      <c r="K71" s="48">
        <v>1015</v>
      </c>
      <c r="L71" s="48" t="s">
        <v>278</v>
      </c>
      <c r="M71" s="49">
        <v>0</v>
      </c>
      <c r="N71" s="49">
        <v>0</v>
      </c>
      <c r="O71" s="49">
        <v>0</v>
      </c>
      <c r="P71" s="47"/>
      <c r="Q71" s="50"/>
      <c r="R71" s="47"/>
      <c r="S71" s="48"/>
      <c r="T71" s="51"/>
      <c r="U71" s="48"/>
    </row>
    <row r="72" spans="1:21">
      <c r="A72" s="45">
        <v>45520</v>
      </c>
      <c r="B72" s="46" t="s">
        <v>274</v>
      </c>
      <c r="C72" s="47">
        <v>295300</v>
      </c>
      <c r="D72" s="47">
        <v>1004373</v>
      </c>
      <c r="E72" s="47" t="s">
        <v>494</v>
      </c>
      <c r="F72" s="47" t="s">
        <v>495</v>
      </c>
      <c r="G72" s="47" t="s">
        <v>496</v>
      </c>
      <c r="H72" s="124">
        <v>40480.42</v>
      </c>
      <c r="I72" s="45">
        <v>45520</v>
      </c>
      <c r="J72" s="130">
        <v>140237</v>
      </c>
      <c r="K72" s="48">
        <v>1015</v>
      </c>
      <c r="L72" s="48" t="s">
        <v>278</v>
      </c>
      <c r="M72" s="49">
        <v>0</v>
      </c>
      <c r="N72" s="49">
        <v>0</v>
      </c>
      <c r="O72" s="49">
        <v>0</v>
      </c>
      <c r="P72" s="47"/>
      <c r="Q72" s="50"/>
      <c r="R72" s="47"/>
      <c r="S72" s="48"/>
      <c r="T72" s="51"/>
      <c r="U72" s="48"/>
    </row>
    <row r="73" spans="1:21">
      <c r="A73" s="45">
        <v>45533</v>
      </c>
      <c r="B73" s="46" t="s">
        <v>280</v>
      </c>
      <c r="C73" s="47">
        <v>296660</v>
      </c>
      <c r="D73" s="47">
        <v>1002124</v>
      </c>
      <c r="E73" s="47" t="s">
        <v>429</v>
      </c>
      <c r="F73" s="47" t="s">
        <v>497</v>
      </c>
      <c r="G73" s="47" t="s">
        <v>498</v>
      </c>
      <c r="H73" s="124">
        <v>33703.18</v>
      </c>
      <c r="I73" s="45">
        <v>45530</v>
      </c>
      <c r="J73" s="130">
        <v>1468</v>
      </c>
      <c r="K73" s="48">
        <v>1015</v>
      </c>
      <c r="L73" s="48" t="s">
        <v>325</v>
      </c>
      <c r="M73" s="49">
        <v>0</v>
      </c>
      <c r="N73" s="49">
        <v>0</v>
      </c>
      <c r="O73" s="49">
        <v>0</v>
      </c>
      <c r="P73" s="47"/>
      <c r="Q73" s="50"/>
      <c r="R73" s="47"/>
      <c r="S73" s="48"/>
      <c r="T73" s="51"/>
      <c r="U73" s="48"/>
    </row>
    <row r="74" spans="1:21">
      <c r="A74" s="45">
        <v>45531</v>
      </c>
      <c r="B74" s="46" t="s">
        <v>280</v>
      </c>
      <c r="C74" s="47"/>
      <c r="D74" s="47">
        <v>1002297</v>
      </c>
      <c r="E74" s="47" t="s">
        <v>499</v>
      </c>
      <c r="F74" s="47" t="s">
        <v>500</v>
      </c>
      <c r="G74" s="47"/>
      <c r="H74" s="124">
        <f>10391.98/2</f>
        <v>5195.99</v>
      </c>
      <c r="I74" s="45">
        <v>45531</v>
      </c>
      <c r="J74" s="130" t="s">
        <v>501</v>
      </c>
      <c r="K74" s="48">
        <v>1015</v>
      </c>
      <c r="L74" s="48" t="s">
        <v>502</v>
      </c>
      <c r="M74" s="49">
        <v>0</v>
      </c>
      <c r="N74" s="49">
        <v>0</v>
      </c>
      <c r="O74" s="49">
        <v>0</v>
      </c>
      <c r="P74" s="47"/>
      <c r="Q74" s="50"/>
      <c r="R74" s="47"/>
      <c r="S74" s="48"/>
      <c r="T74" s="51"/>
      <c r="U74" s="48"/>
    </row>
    <row r="75" spans="1:21">
      <c r="A75" s="45">
        <v>45531</v>
      </c>
      <c r="B75" s="46" t="s">
        <v>280</v>
      </c>
      <c r="C75" s="47"/>
      <c r="D75" s="47">
        <v>1002297</v>
      </c>
      <c r="E75" s="47" t="s">
        <v>499</v>
      </c>
      <c r="F75" s="47" t="s">
        <v>503</v>
      </c>
      <c r="G75" s="47"/>
      <c r="H75" s="124">
        <f>10391.98/2</f>
        <v>5195.99</v>
      </c>
      <c r="I75" s="45">
        <v>45531</v>
      </c>
      <c r="J75" s="130" t="s">
        <v>501</v>
      </c>
      <c r="K75" s="48">
        <v>1015</v>
      </c>
      <c r="L75" s="48" t="s">
        <v>502</v>
      </c>
      <c r="M75" s="49">
        <v>0</v>
      </c>
      <c r="N75" s="49">
        <v>0</v>
      </c>
      <c r="O75" s="49">
        <v>0</v>
      </c>
      <c r="P75" s="47"/>
      <c r="Q75" s="50"/>
      <c r="R75" s="47"/>
      <c r="S75" s="48"/>
      <c r="T75" s="51"/>
      <c r="U75" s="48"/>
    </row>
    <row r="76" spans="1:21">
      <c r="A76" s="45">
        <v>45527</v>
      </c>
      <c r="B76" s="46" t="s">
        <v>280</v>
      </c>
      <c r="C76" s="47">
        <v>296826</v>
      </c>
      <c r="D76" s="47">
        <v>1001773</v>
      </c>
      <c r="E76" s="47" t="s">
        <v>504</v>
      </c>
      <c r="F76" s="47" t="s">
        <v>505</v>
      </c>
      <c r="G76" s="162">
        <v>36237</v>
      </c>
      <c r="H76" s="124">
        <v>14897.93</v>
      </c>
      <c r="I76" s="45">
        <v>45534</v>
      </c>
      <c r="J76" s="130">
        <v>141422</v>
      </c>
      <c r="K76" s="48">
        <v>1015</v>
      </c>
      <c r="L76" s="48" t="s">
        <v>278</v>
      </c>
      <c r="M76" s="49">
        <v>0</v>
      </c>
      <c r="N76" s="49">
        <v>0</v>
      </c>
      <c r="O76" s="49">
        <v>0</v>
      </c>
      <c r="P76" s="47"/>
      <c r="Q76" s="50"/>
      <c r="R76" s="47"/>
      <c r="S76" s="48"/>
      <c r="T76" s="51"/>
      <c r="U76" s="48"/>
    </row>
    <row r="77" spans="1:21">
      <c r="A77" s="45">
        <v>45541</v>
      </c>
      <c r="B77" s="46" t="s">
        <v>280</v>
      </c>
      <c r="C77" s="47">
        <v>297635</v>
      </c>
      <c r="D77" s="47">
        <v>1004891</v>
      </c>
      <c r="E77" s="47" t="s">
        <v>506</v>
      </c>
      <c r="F77" s="47" t="s">
        <v>507</v>
      </c>
      <c r="G77" s="162">
        <v>300173900</v>
      </c>
      <c r="H77" s="124">
        <v>26170.48</v>
      </c>
      <c r="I77" s="45">
        <v>45541</v>
      </c>
      <c r="J77" s="130">
        <v>1111090824</v>
      </c>
      <c r="K77" s="48">
        <v>1015</v>
      </c>
      <c r="L77" s="48" t="s">
        <v>325</v>
      </c>
      <c r="M77" s="49">
        <v>0</v>
      </c>
      <c r="N77" s="49">
        <v>0</v>
      </c>
      <c r="O77" s="49">
        <v>0</v>
      </c>
      <c r="P77" s="47"/>
      <c r="Q77" s="50"/>
      <c r="R77" s="47"/>
      <c r="S77" s="48"/>
      <c r="T77" s="51"/>
      <c r="U77" s="48"/>
    </row>
    <row r="78" spans="1:21">
      <c r="A78" s="45">
        <v>45541</v>
      </c>
      <c r="B78" s="46" t="s">
        <v>280</v>
      </c>
      <c r="C78" s="47">
        <v>297633</v>
      </c>
      <c r="D78" s="47">
        <v>1004891</v>
      </c>
      <c r="E78" s="47" t="s">
        <v>506</v>
      </c>
      <c r="F78" s="47" t="s">
        <v>508</v>
      </c>
      <c r="G78" s="162">
        <v>300186890</v>
      </c>
      <c r="H78" s="124">
        <v>27050.16</v>
      </c>
      <c r="I78" s="45">
        <v>45541</v>
      </c>
      <c r="J78" s="130">
        <v>1111090924</v>
      </c>
      <c r="K78" s="48">
        <v>1015</v>
      </c>
      <c r="L78" s="48" t="s">
        <v>325</v>
      </c>
      <c r="M78" s="49">
        <v>0</v>
      </c>
      <c r="N78" s="49">
        <v>0</v>
      </c>
      <c r="O78" s="49">
        <v>0</v>
      </c>
      <c r="P78" s="47"/>
      <c r="Q78" s="50"/>
      <c r="R78" s="47"/>
      <c r="S78" s="48"/>
      <c r="T78" s="51"/>
      <c r="U78" s="48"/>
    </row>
    <row r="79" spans="1:21">
      <c r="A79" s="45">
        <v>45541</v>
      </c>
      <c r="B79" s="46" t="s">
        <v>274</v>
      </c>
      <c r="C79" s="47">
        <v>299844</v>
      </c>
      <c r="D79" s="47">
        <v>1005644</v>
      </c>
      <c r="E79" s="47" t="s">
        <v>509</v>
      </c>
      <c r="F79" s="47" t="s">
        <v>510</v>
      </c>
      <c r="G79" s="47" t="s">
        <v>511</v>
      </c>
      <c r="H79" s="124">
        <v>223357.65</v>
      </c>
      <c r="I79" s="45">
        <v>45541</v>
      </c>
      <c r="J79" s="130">
        <v>1500</v>
      </c>
      <c r="K79" s="48">
        <v>1015</v>
      </c>
      <c r="L79" s="48" t="s">
        <v>325</v>
      </c>
      <c r="M79" s="49">
        <v>0</v>
      </c>
      <c r="N79" s="49">
        <v>0</v>
      </c>
      <c r="O79" s="49">
        <v>0</v>
      </c>
      <c r="P79" s="47"/>
      <c r="Q79" s="50"/>
      <c r="R79" s="47"/>
      <c r="S79" s="48"/>
      <c r="T79" s="51"/>
      <c r="U79" s="48"/>
    </row>
    <row r="80" spans="1:21">
      <c r="A80" s="45">
        <v>45547</v>
      </c>
      <c r="B80" s="46" t="s">
        <v>280</v>
      </c>
      <c r="C80" s="47">
        <v>297154</v>
      </c>
      <c r="D80" s="47">
        <v>1004246</v>
      </c>
      <c r="E80" s="47" t="s">
        <v>512</v>
      </c>
      <c r="F80" s="47" t="s">
        <v>513</v>
      </c>
      <c r="G80" s="47" t="s">
        <v>514</v>
      </c>
      <c r="H80" s="124">
        <v>28750.03</v>
      </c>
      <c r="I80" s="45">
        <v>45531</v>
      </c>
      <c r="J80" s="130">
        <v>1473</v>
      </c>
      <c r="K80" s="48">
        <v>1015</v>
      </c>
      <c r="L80" s="48" t="s">
        <v>325</v>
      </c>
      <c r="M80" s="49">
        <v>0</v>
      </c>
      <c r="N80" s="49">
        <v>0</v>
      </c>
      <c r="O80" s="49">
        <v>0</v>
      </c>
      <c r="P80" s="47"/>
      <c r="Q80" s="50"/>
      <c r="R80" s="47"/>
      <c r="S80" s="48"/>
      <c r="T80" s="51"/>
      <c r="U80" s="48"/>
    </row>
    <row r="81" spans="1:21">
      <c r="A81" s="45">
        <v>45547</v>
      </c>
      <c r="B81" s="46" t="s">
        <v>280</v>
      </c>
      <c r="C81" s="47">
        <v>297157</v>
      </c>
      <c r="D81" s="47">
        <v>1004246</v>
      </c>
      <c r="E81" s="47" t="s">
        <v>515</v>
      </c>
      <c r="F81" s="47" t="s">
        <v>516</v>
      </c>
      <c r="G81" s="47" t="s">
        <v>517</v>
      </c>
      <c r="H81" s="124">
        <v>17760.45</v>
      </c>
      <c r="I81" s="45">
        <v>45532</v>
      </c>
      <c r="J81" s="130">
        <v>1474</v>
      </c>
      <c r="K81" s="48">
        <v>1015</v>
      </c>
      <c r="L81" s="48" t="s">
        <v>325</v>
      </c>
      <c r="M81" s="49">
        <v>0</v>
      </c>
      <c r="N81" s="49">
        <v>0</v>
      </c>
      <c r="O81" s="49">
        <v>0</v>
      </c>
      <c r="P81" s="47"/>
      <c r="Q81" s="50"/>
      <c r="R81" s="47"/>
      <c r="S81" s="48"/>
      <c r="T81" s="51"/>
      <c r="U81" s="48"/>
    </row>
    <row r="82" spans="1:21">
      <c r="A82" s="45">
        <v>45547</v>
      </c>
      <c r="B82" s="46" t="s">
        <v>280</v>
      </c>
      <c r="C82" s="47">
        <v>299911</v>
      </c>
      <c r="D82" s="47">
        <v>1001170</v>
      </c>
      <c r="E82" s="47" t="s">
        <v>518</v>
      </c>
      <c r="F82" s="47" t="s">
        <v>519</v>
      </c>
      <c r="G82" s="47" t="s">
        <v>520</v>
      </c>
      <c r="H82" s="124">
        <v>18321.310000000001</v>
      </c>
      <c r="I82" s="45">
        <v>45547</v>
      </c>
      <c r="J82" s="130">
        <v>42624749</v>
      </c>
      <c r="K82" s="48">
        <v>1015</v>
      </c>
      <c r="L82" s="48" t="s">
        <v>325</v>
      </c>
      <c r="M82" s="49"/>
      <c r="N82" s="49"/>
      <c r="O82" s="49"/>
      <c r="P82" s="47"/>
      <c r="Q82" s="50"/>
      <c r="R82" s="47"/>
      <c r="S82" s="48"/>
      <c r="T82" s="51"/>
      <c r="U82" s="48"/>
    </row>
    <row r="83" spans="1:21">
      <c r="A83" s="45">
        <v>45547</v>
      </c>
      <c r="B83" s="46" t="s">
        <v>280</v>
      </c>
      <c r="C83" s="47">
        <v>299903</v>
      </c>
      <c r="D83" s="47">
        <v>1004246</v>
      </c>
      <c r="E83" s="47" t="s">
        <v>521</v>
      </c>
      <c r="F83" s="47" t="s">
        <v>522</v>
      </c>
      <c r="G83" s="47" t="s">
        <v>523</v>
      </c>
      <c r="H83" s="124">
        <v>189734.13</v>
      </c>
      <c r="I83" s="45">
        <v>45547</v>
      </c>
      <c r="J83" s="130">
        <v>1111091024</v>
      </c>
      <c r="K83" s="48">
        <v>1015</v>
      </c>
      <c r="L83" s="48" t="s">
        <v>325</v>
      </c>
      <c r="M83" s="49"/>
      <c r="N83" s="49"/>
      <c r="O83" s="49"/>
      <c r="P83" s="47"/>
      <c r="Q83" s="50"/>
      <c r="R83" s="47"/>
      <c r="S83" s="48"/>
      <c r="T83" s="51"/>
      <c r="U83" s="48"/>
    </row>
    <row r="84" spans="1:21">
      <c r="A84" s="45">
        <v>45553</v>
      </c>
      <c r="B84" s="46" t="s">
        <v>280</v>
      </c>
      <c r="C84" s="47">
        <v>297584</v>
      </c>
      <c r="D84" s="47">
        <v>1005428</v>
      </c>
      <c r="E84" s="47" t="s">
        <v>524</v>
      </c>
      <c r="F84" s="47" t="s">
        <v>525</v>
      </c>
      <c r="G84" s="47" t="s">
        <v>526</v>
      </c>
      <c r="H84" s="124">
        <v>87132</v>
      </c>
      <c r="I84" s="45">
        <v>45539</v>
      </c>
      <c r="J84" s="130">
        <v>141363</v>
      </c>
      <c r="K84" s="48">
        <v>1015</v>
      </c>
      <c r="L84" s="48" t="s">
        <v>278</v>
      </c>
      <c r="M84" s="49"/>
      <c r="N84" s="49"/>
      <c r="O84" s="49"/>
      <c r="P84" s="47"/>
      <c r="Q84" s="50"/>
      <c r="R84" s="47"/>
      <c r="S84" s="48"/>
      <c r="T84" s="51"/>
      <c r="U84" s="48"/>
    </row>
    <row r="85" spans="1:21">
      <c r="A85" s="45">
        <v>45559</v>
      </c>
      <c r="B85" s="46" t="s">
        <v>280</v>
      </c>
      <c r="C85" s="47">
        <v>299946</v>
      </c>
      <c r="D85" s="47">
        <v>1004246</v>
      </c>
      <c r="E85" s="47" t="s">
        <v>527</v>
      </c>
      <c r="F85" s="47" t="s">
        <v>528</v>
      </c>
      <c r="G85" s="47" t="s">
        <v>529</v>
      </c>
      <c r="H85" s="124">
        <v>6765.63</v>
      </c>
      <c r="I85" s="45">
        <v>45559</v>
      </c>
      <c r="J85" s="130">
        <v>1111091724</v>
      </c>
      <c r="K85" s="48">
        <v>1015</v>
      </c>
      <c r="L85" s="48" t="s">
        <v>325</v>
      </c>
      <c r="M85" s="49"/>
      <c r="N85" s="49"/>
      <c r="O85" s="49"/>
      <c r="P85" s="47"/>
      <c r="Q85" s="50"/>
      <c r="R85" s="47"/>
      <c r="S85" s="48"/>
      <c r="T85" s="51"/>
      <c r="U85" s="48"/>
    </row>
    <row r="86" spans="1:21">
      <c r="A86" s="45">
        <v>45568</v>
      </c>
      <c r="B86" s="46" t="s">
        <v>280</v>
      </c>
      <c r="C86" s="47">
        <v>300505</v>
      </c>
      <c r="D86" s="47">
        <v>1005650</v>
      </c>
      <c r="E86" s="47" t="s">
        <v>530</v>
      </c>
      <c r="F86" s="168" t="s">
        <v>531</v>
      </c>
      <c r="G86" s="47"/>
      <c r="H86" s="124">
        <v>22010.78</v>
      </c>
      <c r="I86" s="45">
        <v>45568</v>
      </c>
      <c r="J86" s="130">
        <v>1510</v>
      </c>
      <c r="K86" s="48">
        <v>1015</v>
      </c>
      <c r="L86" s="48" t="s">
        <v>325</v>
      </c>
      <c r="M86" s="49"/>
      <c r="N86" s="49"/>
      <c r="O86" s="49"/>
      <c r="P86" s="47"/>
      <c r="Q86" s="50"/>
      <c r="R86" s="47"/>
      <c r="S86" s="48"/>
      <c r="T86" s="51"/>
      <c r="U86" s="48"/>
    </row>
    <row r="87" spans="1:21">
      <c r="A87" s="45">
        <v>45580</v>
      </c>
      <c r="B87" s="46" t="s">
        <v>280</v>
      </c>
      <c r="C87" s="47">
        <v>301755</v>
      </c>
      <c r="D87" s="47">
        <v>1001513</v>
      </c>
      <c r="E87" s="51" t="s">
        <v>532</v>
      </c>
      <c r="F87" t="s">
        <v>533</v>
      </c>
      <c r="G87" s="167">
        <v>11001226</v>
      </c>
      <c r="H87" s="124">
        <v>547350</v>
      </c>
      <c r="I87" s="45">
        <v>45580</v>
      </c>
      <c r="J87" s="130">
        <v>237101524</v>
      </c>
      <c r="K87" s="48">
        <v>1015</v>
      </c>
      <c r="L87" s="48" t="s">
        <v>325</v>
      </c>
      <c r="M87" s="49"/>
      <c r="N87" s="49"/>
      <c r="O87" s="49"/>
      <c r="P87" s="47"/>
      <c r="Q87" s="50"/>
      <c r="R87" s="47"/>
      <c r="S87" s="48"/>
      <c r="T87" s="51"/>
      <c r="U87" s="48"/>
    </row>
    <row r="88" spans="1:21">
      <c r="A88" s="45">
        <v>45541</v>
      </c>
      <c r="B88" s="46" t="s">
        <v>280</v>
      </c>
      <c r="C88" s="47">
        <v>298663</v>
      </c>
      <c r="D88" s="47">
        <v>1003373</v>
      </c>
      <c r="E88" s="47" t="s">
        <v>534</v>
      </c>
      <c r="F88" s="41" t="s">
        <v>535</v>
      </c>
      <c r="G88" s="47"/>
      <c r="H88" s="124">
        <v>83757.13</v>
      </c>
      <c r="I88" s="45">
        <v>45541</v>
      </c>
      <c r="J88" s="130">
        <v>141860</v>
      </c>
      <c r="K88" s="48">
        <v>1015</v>
      </c>
      <c r="L88" s="48" t="s">
        <v>278</v>
      </c>
      <c r="M88" s="49"/>
      <c r="N88" s="49"/>
      <c r="O88" s="49"/>
      <c r="P88" s="47"/>
      <c r="Q88" s="50"/>
      <c r="R88" s="47"/>
      <c r="S88" s="48"/>
      <c r="T88" s="51"/>
      <c r="U88" s="48"/>
    </row>
    <row r="89" spans="1:21">
      <c r="A89" s="45">
        <v>45551</v>
      </c>
      <c r="B89" s="46" t="s">
        <v>280</v>
      </c>
      <c r="C89" s="47">
        <v>298795</v>
      </c>
      <c r="D89" s="47">
        <v>1005428</v>
      </c>
      <c r="E89" s="47" t="s">
        <v>536</v>
      </c>
      <c r="F89" s="47" t="s">
        <v>537</v>
      </c>
      <c r="G89" s="47">
        <v>410218</v>
      </c>
      <c r="H89" s="49">
        <v>33935.85</v>
      </c>
      <c r="I89" s="45">
        <v>45551</v>
      </c>
      <c r="J89" s="130">
        <v>142445</v>
      </c>
      <c r="K89" s="48">
        <v>1015</v>
      </c>
      <c r="L89" s="48" t="s">
        <v>278</v>
      </c>
      <c r="M89" s="49"/>
      <c r="N89" s="49"/>
      <c r="O89" s="49"/>
      <c r="P89" s="47"/>
      <c r="Q89" s="50"/>
      <c r="R89" s="47"/>
      <c r="S89" s="48"/>
      <c r="T89" s="51"/>
      <c r="U89" s="48"/>
    </row>
    <row r="90" spans="1:21">
      <c r="A90" s="45">
        <v>45552</v>
      </c>
      <c r="B90" s="46" t="s">
        <v>280</v>
      </c>
      <c r="C90" s="47">
        <v>298993</v>
      </c>
      <c r="D90" s="47">
        <v>1005428</v>
      </c>
      <c r="E90" s="47" t="s">
        <v>538</v>
      </c>
      <c r="F90" s="47" t="s">
        <v>539</v>
      </c>
      <c r="G90" s="47" t="s">
        <v>540</v>
      </c>
      <c r="H90" s="49">
        <v>27874.44</v>
      </c>
      <c r="I90" s="45">
        <v>45552</v>
      </c>
      <c r="J90" s="130">
        <v>142445</v>
      </c>
      <c r="K90" s="48">
        <v>1015</v>
      </c>
      <c r="L90" s="48" t="s">
        <v>278</v>
      </c>
      <c r="M90" s="49"/>
      <c r="N90" s="49"/>
      <c r="O90" s="49"/>
      <c r="P90" s="47"/>
      <c r="Q90" s="50"/>
      <c r="R90" s="47"/>
      <c r="S90" s="48"/>
      <c r="T90" s="51"/>
      <c r="U90" s="48"/>
    </row>
    <row r="91" spans="1:21">
      <c r="A91" s="45">
        <v>45560</v>
      </c>
      <c r="B91" s="46" t="s">
        <v>280</v>
      </c>
      <c r="C91" s="47">
        <v>299772</v>
      </c>
      <c r="D91" s="47">
        <v>1000639</v>
      </c>
      <c r="E91" s="47" t="s">
        <v>541</v>
      </c>
      <c r="F91" s="47" t="s">
        <v>542</v>
      </c>
      <c r="G91" s="47" t="s">
        <v>543</v>
      </c>
      <c r="H91" s="49">
        <v>99250</v>
      </c>
      <c r="I91" s="45">
        <v>45560</v>
      </c>
      <c r="J91" s="130">
        <v>142369</v>
      </c>
      <c r="K91" s="48">
        <v>1015</v>
      </c>
      <c r="L91" s="48" t="s">
        <v>278</v>
      </c>
      <c r="M91" s="49"/>
      <c r="N91" s="49"/>
      <c r="O91" s="49"/>
      <c r="P91" s="47"/>
      <c r="Q91" s="50"/>
      <c r="R91" s="47"/>
      <c r="S91" s="48"/>
      <c r="T91" s="51"/>
      <c r="U91" s="48"/>
    </row>
    <row r="92" spans="1:21">
      <c r="A92" s="45">
        <v>45560</v>
      </c>
      <c r="B92" s="46" t="s">
        <v>280</v>
      </c>
      <c r="C92" s="47">
        <v>299796</v>
      </c>
      <c r="D92" s="47">
        <v>1000749</v>
      </c>
      <c r="E92" s="47" t="s">
        <v>544</v>
      </c>
      <c r="F92" s="47" t="s">
        <v>545</v>
      </c>
      <c r="G92" s="47"/>
      <c r="H92" s="49">
        <v>12273.76</v>
      </c>
      <c r="I92" s="45">
        <v>45560</v>
      </c>
      <c r="J92" s="130">
        <v>142371</v>
      </c>
      <c r="K92" s="48">
        <v>1015</v>
      </c>
      <c r="L92" s="48" t="s">
        <v>278</v>
      </c>
      <c r="M92" s="49"/>
      <c r="N92" s="49"/>
      <c r="O92" s="49"/>
      <c r="P92" s="47"/>
      <c r="Q92" s="50"/>
      <c r="R92" s="47"/>
      <c r="S92" s="48"/>
      <c r="T92" s="51"/>
      <c r="U92" s="48"/>
    </row>
    <row r="93" spans="1:21">
      <c r="A93" s="45">
        <v>45545</v>
      </c>
      <c r="B93" s="46" t="s">
        <v>280</v>
      </c>
      <c r="C93" s="47">
        <v>294178</v>
      </c>
      <c r="D93" s="47">
        <v>1004632</v>
      </c>
      <c r="E93" s="47" t="s">
        <v>546</v>
      </c>
      <c r="F93" s="47" t="s">
        <v>547</v>
      </c>
      <c r="G93" s="47" t="s">
        <v>548</v>
      </c>
      <c r="H93" s="49">
        <v>81389.429999999993</v>
      </c>
      <c r="I93" s="45">
        <v>45545</v>
      </c>
      <c r="J93" s="130">
        <v>139712</v>
      </c>
      <c r="K93" s="48">
        <v>1015</v>
      </c>
      <c r="L93" s="48" t="s">
        <v>278</v>
      </c>
      <c r="M93" s="49"/>
      <c r="N93" s="49"/>
      <c r="O93" s="49"/>
      <c r="P93" s="47"/>
      <c r="Q93" s="50"/>
      <c r="R93" s="47"/>
      <c r="S93" s="48"/>
      <c r="T93" s="51"/>
      <c r="U93" s="48"/>
    </row>
    <row r="94" spans="1:21">
      <c r="A94" s="45">
        <v>45566</v>
      </c>
      <c r="B94" s="46" t="s">
        <v>280</v>
      </c>
      <c r="C94" s="47">
        <v>302786</v>
      </c>
      <c r="D94" s="47">
        <v>1003373</v>
      </c>
      <c r="E94" s="47" t="s">
        <v>549</v>
      </c>
      <c r="F94" s="47" t="s">
        <v>550</v>
      </c>
      <c r="G94" s="47" t="s">
        <v>551</v>
      </c>
      <c r="H94" s="49">
        <v>227916.43</v>
      </c>
      <c r="I94" s="45">
        <v>45576</v>
      </c>
      <c r="J94" s="130">
        <v>142677</v>
      </c>
      <c r="K94" s="48">
        <v>1015</v>
      </c>
      <c r="L94" s="48" t="s">
        <v>278</v>
      </c>
      <c r="M94" s="49"/>
      <c r="N94" s="49"/>
      <c r="O94" s="49"/>
      <c r="P94" s="47"/>
      <c r="Q94" s="50"/>
      <c r="R94" s="47"/>
      <c r="S94" s="48"/>
      <c r="T94" s="51"/>
      <c r="U94" s="48"/>
    </row>
    <row r="95" spans="1:21">
      <c r="A95" s="45">
        <v>45566</v>
      </c>
      <c r="B95" s="46" t="s">
        <v>274</v>
      </c>
      <c r="C95" s="47">
        <v>300281</v>
      </c>
      <c r="D95" s="47">
        <v>1003730</v>
      </c>
      <c r="E95" s="47" t="s">
        <v>552</v>
      </c>
      <c r="F95" s="47" t="s">
        <v>553</v>
      </c>
      <c r="G95" s="47" t="s">
        <v>554</v>
      </c>
      <c r="H95" s="49">
        <v>56859.18</v>
      </c>
      <c r="I95" s="45">
        <v>45566</v>
      </c>
      <c r="J95" s="130">
        <v>141792</v>
      </c>
      <c r="K95" s="48">
        <v>1015</v>
      </c>
      <c r="L95" s="48" t="s">
        <v>278</v>
      </c>
      <c r="M95" s="49"/>
      <c r="N95" s="49"/>
      <c r="O95" s="49"/>
      <c r="P95" s="47"/>
      <c r="Q95" s="50"/>
      <c r="R95" s="47"/>
      <c r="S95" s="48"/>
      <c r="T95" s="51"/>
      <c r="U95" s="48"/>
    </row>
    <row r="96" spans="1:21">
      <c r="A96" s="45">
        <v>45566</v>
      </c>
      <c r="B96" s="46" t="s">
        <v>274</v>
      </c>
      <c r="C96" s="47">
        <v>300283</v>
      </c>
      <c r="D96" s="47">
        <v>1003730</v>
      </c>
      <c r="E96" s="47" t="s">
        <v>555</v>
      </c>
      <c r="F96" s="47" t="s">
        <v>556</v>
      </c>
      <c r="G96" s="47" t="s">
        <v>557</v>
      </c>
      <c r="H96" s="49">
        <v>56859.18</v>
      </c>
      <c r="I96" s="45">
        <v>45566</v>
      </c>
      <c r="J96" s="130">
        <v>141792</v>
      </c>
      <c r="K96" s="48">
        <v>1015</v>
      </c>
      <c r="L96" s="48" t="s">
        <v>278</v>
      </c>
      <c r="M96" s="49"/>
      <c r="N96" s="49"/>
      <c r="O96" s="49"/>
      <c r="P96" s="47"/>
      <c r="Q96" s="50"/>
      <c r="R96" s="47"/>
      <c r="S96" s="48"/>
      <c r="T96" s="51"/>
      <c r="U96" s="48"/>
    </row>
    <row r="97" spans="1:21">
      <c r="A97" s="45">
        <v>45566</v>
      </c>
      <c r="B97" s="46" t="s">
        <v>274</v>
      </c>
      <c r="C97" s="47">
        <v>300284</v>
      </c>
      <c r="D97" s="47">
        <v>1003730</v>
      </c>
      <c r="E97" s="47" t="s">
        <v>558</v>
      </c>
      <c r="F97" s="47" t="s">
        <v>559</v>
      </c>
      <c r="G97" s="47" t="s">
        <v>560</v>
      </c>
      <c r="H97" s="49">
        <v>56859.18</v>
      </c>
      <c r="I97" s="45">
        <v>45566</v>
      </c>
      <c r="J97" s="130">
        <v>141792</v>
      </c>
      <c r="K97" s="48">
        <v>1015</v>
      </c>
      <c r="L97" s="48" t="s">
        <v>278</v>
      </c>
      <c r="M97" s="49"/>
      <c r="N97" s="49"/>
      <c r="O97" s="49"/>
      <c r="P97" s="47"/>
      <c r="Q97" s="50"/>
      <c r="R97" s="47"/>
      <c r="S97" s="48"/>
      <c r="T97" s="51"/>
      <c r="U97" s="48"/>
    </row>
    <row r="98" spans="1:21">
      <c r="A98" s="45">
        <v>45566</v>
      </c>
      <c r="B98" s="46" t="s">
        <v>274</v>
      </c>
      <c r="C98" s="47">
        <v>300285</v>
      </c>
      <c r="D98" s="47">
        <v>1003730</v>
      </c>
      <c r="E98" s="47" t="s">
        <v>561</v>
      </c>
      <c r="F98" s="47" t="s">
        <v>562</v>
      </c>
      <c r="G98" s="47" t="s">
        <v>563</v>
      </c>
      <c r="H98" s="49">
        <v>57142.879999999997</v>
      </c>
      <c r="I98" s="45">
        <v>45566</v>
      </c>
      <c r="J98" s="130">
        <v>141792</v>
      </c>
      <c r="K98" s="48">
        <v>1015</v>
      </c>
      <c r="L98" s="48" t="s">
        <v>278</v>
      </c>
      <c r="M98" s="49"/>
      <c r="N98" s="49"/>
      <c r="O98" s="49"/>
      <c r="P98" s="47"/>
      <c r="Q98" s="50"/>
      <c r="R98" s="47"/>
      <c r="S98" s="48"/>
      <c r="T98" s="51"/>
      <c r="U98" s="48"/>
    </row>
    <row r="99" spans="1:21">
      <c r="A99" s="45">
        <v>45569</v>
      </c>
      <c r="B99" s="46" t="s">
        <v>274</v>
      </c>
      <c r="C99" s="47">
        <v>300306</v>
      </c>
      <c r="D99" s="47">
        <v>1001832</v>
      </c>
      <c r="E99" s="47" t="s">
        <v>564</v>
      </c>
      <c r="F99" s="47" t="s">
        <v>565</v>
      </c>
      <c r="G99" s="47" t="s">
        <v>566</v>
      </c>
      <c r="H99" s="124">
        <v>28870.43</v>
      </c>
      <c r="I99" s="45">
        <v>45569</v>
      </c>
      <c r="J99" s="130">
        <v>141791</v>
      </c>
      <c r="K99" s="48">
        <v>1015</v>
      </c>
      <c r="L99" s="48" t="s">
        <v>278</v>
      </c>
      <c r="M99" s="49"/>
      <c r="N99" s="49"/>
      <c r="O99" s="49"/>
      <c r="P99" s="47"/>
      <c r="Q99" s="50"/>
      <c r="R99" s="47"/>
      <c r="S99" s="48"/>
      <c r="T99" s="51"/>
      <c r="U99" s="48"/>
    </row>
    <row r="100" spans="1:21">
      <c r="A100" s="45">
        <v>45569</v>
      </c>
      <c r="B100" s="46" t="s">
        <v>274</v>
      </c>
      <c r="C100" s="47">
        <v>300290</v>
      </c>
      <c r="D100" s="47">
        <v>1001832</v>
      </c>
      <c r="E100" s="47" t="s">
        <v>567</v>
      </c>
      <c r="F100" s="47" t="s">
        <v>568</v>
      </c>
      <c r="G100" s="47" t="s">
        <v>569</v>
      </c>
      <c r="H100" s="124">
        <v>29339.18</v>
      </c>
      <c r="I100" s="45">
        <v>45569</v>
      </c>
      <c r="J100" s="130">
        <v>141791</v>
      </c>
      <c r="K100" s="48">
        <v>1015</v>
      </c>
      <c r="L100" s="48" t="s">
        <v>278</v>
      </c>
      <c r="M100" s="49"/>
      <c r="N100" s="49"/>
      <c r="O100" s="49"/>
      <c r="P100" s="47"/>
      <c r="Q100" s="50"/>
      <c r="R100" s="47"/>
      <c r="S100" s="48"/>
      <c r="T100" s="51"/>
      <c r="U100" s="48"/>
    </row>
    <row r="101" spans="1:21">
      <c r="A101" s="45">
        <v>45569</v>
      </c>
      <c r="B101" s="46" t="s">
        <v>274</v>
      </c>
      <c r="C101" s="47">
        <v>300303</v>
      </c>
      <c r="D101" s="47">
        <v>1001832</v>
      </c>
      <c r="E101" s="47" t="s">
        <v>570</v>
      </c>
      <c r="F101" s="47" t="s">
        <v>571</v>
      </c>
      <c r="G101" s="47" t="s">
        <v>572</v>
      </c>
      <c r="H101" s="124">
        <v>28932.93</v>
      </c>
      <c r="I101" s="45">
        <v>45569</v>
      </c>
      <c r="J101" s="130">
        <v>141791</v>
      </c>
      <c r="K101" s="48">
        <v>1015</v>
      </c>
      <c r="L101" s="48" t="s">
        <v>278</v>
      </c>
      <c r="M101" s="49"/>
      <c r="N101" s="49"/>
      <c r="O101" s="49"/>
      <c r="P101" s="47"/>
      <c r="Q101" s="50"/>
      <c r="R101" s="47"/>
      <c r="S101" s="48"/>
      <c r="T101" s="51"/>
      <c r="U101" s="48"/>
    </row>
    <row r="102" spans="1:21">
      <c r="A102" s="45">
        <v>45569</v>
      </c>
      <c r="B102" s="46" t="s">
        <v>274</v>
      </c>
      <c r="C102" s="47">
        <v>300287</v>
      </c>
      <c r="D102" s="47">
        <v>1001832</v>
      </c>
      <c r="E102" s="47" t="s">
        <v>573</v>
      </c>
      <c r="F102" s="47" t="s">
        <v>574</v>
      </c>
      <c r="G102" s="47" t="s">
        <v>575</v>
      </c>
      <c r="H102" s="124">
        <v>29026.68</v>
      </c>
      <c r="I102" s="45">
        <v>45569</v>
      </c>
      <c r="J102" s="130">
        <v>141791</v>
      </c>
      <c r="K102" s="48">
        <v>1015</v>
      </c>
      <c r="L102" s="48" t="s">
        <v>278</v>
      </c>
      <c r="M102" s="49"/>
      <c r="N102" s="49"/>
      <c r="O102" s="49"/>
      <c r="P102" s="47"/>
      <c r="Q102" s="50"/>
      <c r="R102" s="47"/>
      <c r="S102" s="48"/>
      <c r="T102" s="51"/>
      <c r="U102" s="48"/>
    </row>
    <row r="103" spans="1:21">
      <c r="A103" s="45">
        <v>45569</v>
      </c>
      <c r="B103" s="46" t="s">
        <v>274</v>
      </c>
      <c r="C103" s="47">
        <v>300293</v>
      </c>
      <c r="D103" s="47">
        <v>1001832</v>
      </c>
      <c r="E103" s="47" t="s">
        <v>576</v>
      </c>
      <c r="F103" s="47" t="s">
        <v>577</v>
      </c>
      <c r="G103" s="47" t="s">
        <v>578</v>
      </c>
      <c r="H103" s="124">
        <v>28870.43</v>
      </c>
      <c r="I103" s="45">
        <v>45569</v>
      </c>
      <c r="J103" s="130">
        <v>141791</v>
      </c>
      <c r="K103" s="48">
        <v>1015</v>
      </c>
      <c r="L103" s="48" t="s">
        <v>278</v>
      </c>
      <c r="M103" s="49"/>
      <c r="N103" s="49"/>
      <c r="O103" s="49"/>
      <c r="P103" s="47"/>
      <c r="Q103" s="50"/>
      <c r="R103" s="47"/>
      <c r="S103" s="48"/>
      <c r="T103" s="51"/>
      <c r="U103" s="48"/>
    </row>
    <row r="104" spans="1:21">
      <c r="A104" s="45">
        <v>45589</v>
      </c>
      <c r="B104" s="46" t="s">
        <v>280</v>
      </c>
      <c r="C104" s="47">
        <v>302800</v>
      </c>
      <c r="D104" s="47">
        <v>1005677</v>
      </c>
      <c r="E104" s="47" t="s">
        <v>579</v>
      </c>
      <c r="F104" s="47" t="s">
        <v>580</v>
      </c>
      <c r="G104" s="47"/>
      <c r="H104" s="124">
        <v>8050</v>
      </c>
      <c r="I104" s="45"/>
      <c r="J104" s="130">
        <v>142797</v>
      </c>
      <c r="K104" s="48">
        <v>1015</v>
      </c>
      <c r="L104" s="48" t="s">
        <v>278</v>
      </c>
      <c r="M104" s="49"/>
      <c r="N104" s="49"/>
      <c r="O104" s="49"/>
      <c r="P104" s="47"/>
      <c r="Q104" s="50"/>
      <c r="R104" s="47"/>
      <c r="S104" s="48"/>
      <c r="T104" s="51"/>
      <c r="U104" s="48"/>
    </row>
    <row r="105" spans="1:21">
      <c r="A105" s="45">
        <v>45590</v>
      </c>
      <c r="B105" s="46" t="s">
        <v>280</v>
      </c>
      <c r="C105" s="47">
        <v>304100</v>
      </c>
      <c r="D105" s="47">
        <v>1002484</v>
      </c>
      <c r="E105" s="47" t="s">
        <v>581</v>
      </c>
      <c r="F105" s="47" t="s">
        <v>582</v>
      </c>
      <c r="G105" s="47" t="s">
        <v>583</v>
      </c>
      <c r="H105" s="124">
        <v>38549.410000000003</v>
      </c>
      <c r="I105" s="45">
        <v>45590</v>
      </c>
      <c r="J105" s="130">
        <v>1548</v>
      </c>
      <c r="K105" s="48">
        <v>1015</v>
      </c>
      <c r="L105" s="48" t="s">
        <v>325</v>
      </c>
      <c r="M105" s="49"/>
      <c r="N105" s="49"/>
      <c r="O105" s="49"/>
      <c r="P105" s="47"/>
      <c r="Q105" s="50"/>
      <c r="R105" s="47"/>
      <c r="S105" s="48"/>
      <c r="T105" s="51"/>
      <c r="U105" s="48"/>
    </row>
    <row r="106" spans="1:21">
      <c r="A106" s="45">
        <v>45565</v>
      </c>
      <c r="B106" s="46" t="s">
        <v>280</v>
      </c>
      <c r="C106" s="47">
        <v>300548</v>
      </c>
      <c r="D106" s="47">
        <v>1001623</v>
      </c>
      <c r="E106" s="47" t="s">
        <v>584</v>
      </c>
      <c r="F106" s="47" t="s">
        <v>585</v>
      </c>
      <c r="G106" s="47"/>
      <c r="H106" s="124">
        <v>42399.040000000001</v>
      </c>
      <c r="I106" s="45"/>
      <c r="J106" s="130">
        <v>143756</v>
      </c>
      <c r="K106" s="48">
        <v>1015</v>
      </c>
      <c r="L106" s="48" t="s">
        <v>278</v>
      </c>
      <c r="M106" s="49"/>
      <c r="N106" s="49"/>
      <c r="O106" s="49"/>
      <c r="P106" s="47"/>
      <c r="Q106" s="50"/>
      <c r="R106" s="47"/>
      <c r="S106" s="48"/>
      <c r="T106" s="51"/>
      <c r="U106" s="48"/>
    </row>
    <row r="107" spans="1:21">
      <c r="A107" s="45">
        <v>45604</v>
      </c>
      <c r="B107" s="46" t="s">
        <v>280</v>
      </c>
      <c r="C107" s="47">
        <v>305693</v>
      </c>
      <c r="D107" s="47">
        <v>1000531</v>
      </c>
      <c r="E107" s="47" t="s">
        <v>586</v>
      </c>
      <c r="F107" s="47" t="s">
        <v>587</v>
      </c>
      <c r="G107" s="47" t="s">
        <v>588</v>
      </c>
      <c r="H107" s="49">
        <v>7395.8</v>
      </c>
      <c r="I107" s="47"/>
      <c r="J107" s="130">
        <v>143745</v>
      </c>
      <c r="K107" s="48">
        <v>1015</v>
      </c>
      <c r="L107" s="48" t="s">
        <v>278</v>
      </c>
      <c r="M107" s="49"/>
      <c r="N107" s="49"/>
      <c r="O107" s="49"/>
      <c r="P107" s="47"/>
      <c r="Q107" s="50"/>
      <c r="R107" s="47"/>
      <c r="S107" s="48"/>
      <c r="T107" s="51"/>
      <c r="U107" s="48"/>
    </row>
    <row r="108" spans="1:21">
      <c r="A108" s="45">
        <v>45604</v>
      </c>
      <c r="B108" s="46" t="s">
        <v>280</v>
      </c>
      <c r="C108" s="47">
        <v>305692</v>
      </c>
      <c r="D108" s="47">
        <v>1000531</v>
      </c>
      <c r="E108" s="47" t="s">
        <v>589</v>
      </c>
      <c r="F108" s="47" t="s">
        <v>590</v>
      </c>
      <c r="G108" s="47" t="s">
        <v>591</v>
      </c>
      <c r="H108" s="49">
        <v>13939</v>
      </c>
      <c r="I108" s="47"/>
      <c r="J108" s="130">
        <v>143745</v>
      </c>
      <c r="K108" s="48">
        <v>1015</v>
      </c>
      <c r="L108" s="48" t="s">
        <v>278</v>
      </c>
      <c r="M108" s="49"/>
      <c r="N108" s="49"/>
      <c r="O108" s="49"/>
      <c r="P108" s="47"/>
      <c r="Q108" s="50"/>
      <c r="R108" s="47"/>
      <c r="S108" s="48"/>
      <c r="T108" s="51"/>
      <c r="U108" s="48"/>
    </row>
    <row r="109" spans="1:21">
      <c r="A109" s="45">
        <v>45609</v>
      </c>
      <c r="B109" s="46" t="s">
        <v>280</v>
      </c>
      <c r="C109" s="47">
        <v>303402</v>
      </c>
      <c r="D109" s="47">
        <v>1005428</v>
      </c>
      <c r="E109" s="47" t="s">
        <v>592</v>
      </c>
      <c r="F109" s="47" t="s">
        <v>593</v>
      </c>
      <c r="G109" s="47" t="s">
        <v>594</v>
      </c>
      <c r="H109" s="49">
        <v>256985.43</v>
      </c>
      <c r="I109" s="47"/>
      <c r="J109" s="130">
        <v>143450</v>
      </c>
      <c r="K109" s="48">
        <v>1015</v>
      </c>
      <c r="L109" s="48" t="s">
        <v>278</v>
      </c>
      <c r="M109" s="49"/>
      <c r="N109" s="49"/>
      <c r="O109" s="49"/>
      <c r="P109" s="47"/>
      <c r="Q109" s="50"/>
      <c r="R109" s="47"/>
      <c r="S109" s="48"/>
      <c r="T109" s="51"/>
      <c r="U109" s="48"/>
    </row>
    <row r="110" spans="1:21">
      <c r="A110" s="45">
        <v>45609</v>
      </c>
      <c r="B110" s="46" t="s">
        <v>280</v>
      </c>
      <c r="C110" s="47">
        <v>306358</v>
      </c>
      <c r="D110" s="47">
        <v>1005724</v>
      </c>
      <c r="E110" s="47" t="s">
        <v>595</v>
      </c>
      <c r="F110" s="47" t="s">
        <v>596</v>
      </c>
      <c r="G110" s="162">
        <v>12900186</v>
      </c>
      <c r="H110" s="49">
        <v>24500</v>
      </c>
      <c r="I110" s="47"/>
      <c r="J110" s="130">
        <v>1577</v>
      </c>
      <c r="K110" s="48">
        <v>1015</v>
      </c>
      <c r="L110" s="48" t="s">
        <v>325</v>
      </c>
      <c r="M110" s="49"/>
      <c r="N110" s="49"/>
      <c r="O110" s="49"/>
      <c r="P110" s="47"/>
      <c r="Q110" s="50"/>
      <c r="R110" s="47"/>
      <c r="S110" s="48"/>
      <c r="T110" s="51"/>
      <c r="U110" s="48"/>
    </row>
    <row r="111" spans="1:21">
      <c r="A111" s="45">
        <v>45611</v>
      </c>
      <c r="B111" s="46" t="s">
        <v>280</v>
      </c>
      <c r="C111" s="47">
        <v>306357</v>
      </c>
      <c r="D111" s="47">
        <v>1004246</v>
      </c>
      <c r="E111" s="47" t="s">
        <v>597</v>
      </c>
      <c r="F111" s="47" t="s">
        <v>598</v>
      </c>
      <c r="G111" s="162">
        <v>1600773655</v>
      </c>
      <c r="H111" s="164">
        <v>52865.01</v>
      </c>
      <c r="I111" s="47"/>
      <c r="J111" s="130">
        <v>1576</v>
      </c>
      <c r="K111" s="48">
        <v>1015</v>
      </c>
      <c r="L111" s="48" t="s">
        <v>325</v>
      </c>
      <c r="M111" s="49"/>
      <c r="N111" s="49"/>
      <c r="O111" s="49"/>
      <c r="P111" s="47"/>
      <c r="Q111" s="50"/>
      <c r="R111" s="47"/>
      <c r="S111" s="48"/>
      <c r="T111" s="51"/>
      <c r="U111" s="48"/>
    </row>
    <row r="112" spans="1:21">
      <c r="A112" s="45">
        <v>45621</v>
      </c>
      <c r="B112" s="46" t="s">
        <v>280</v>
      </c>
      <c r="C112" s="47">
        <v>306779</v>
      </c>
      <c r="D112" s="47">
        <v>1000702</v>
      </c>
      <c r="E112" s="47" t="s">
        <v>599</v>
      </c>
      <c r="F112" s="47" t="s">
        <v>600</v>
      </c>
      <c r="G112" s="47" t="s">
        <v>601</v>
      </c>
      <c r="H112" s="49">
        <v>33333.75</v>
      </c>
      <c r="I112" s="47"/>
      <c r="J112" s="130">
        <v>1585</v>
      </c>
      <c r="K112" s="48">
        <v>1015</v>
      </c>
      <c r="L112" s="48" t="s">
        <v>325</v>
      </c>
      <c r="M112" s="49"/>
      <c r="N112" s="49"/>
      <c r="O112" s="49"/>
      <c r="P112" s="47"/>
      <c r="Q112" s="50"/>
      <c r="R112" s="47"/>
      <c r="S112" s="48"/>
      <c r="T112" s="47"/>
      <c r="U112" s="48"/>
    </row>
    <row r="113" spans="1:22">
      <c r="A113" s="183">
        <v>45610</v>
      </c>
      <c r="B113" s="184" t="s">
        <v>280</v>
      </c>
      <c r="C113" s="168">
        <v>307471</v>
      </c>
      <c r="D113" s="168">
        <v>1005428</v>
      </c>
      <c r="E113" s="168" t="s">
        <v>602</v>
      </c>
      <c r="F113" s="168" t="s">
        <v>603</v>
      </c>
      <c r="G113" s="168" t="s">
        <v>604</v>
      </c>
      <c r="H113" s="185">
        <v>8374</v>
      </c>
      <c r="I113" s="168"/>
      <c r="J113" s="186">
        <v>144520</v>
      </c>
      <c r="K113" s="187">
        <v>1015</v>
      </c>
      <c r="L113" s="187" t="s">
        <v>278</v>
      </c>
      <c r="M113" s="185"/>
      <c r="N113" s="185"/>
      <c r="O113" s="185"/>
      <c r="P113" s="168"/>
      <c r="Q113" s="188"/>
      <c r="R113" s="168"/>
      <c r="S113" s="187"/>
      <c r="T113" s="168"/>
      <c r="U113" s="187"/>
    </row>
    <row r="114" spans="1:22" s="178" customFormat="1">
      <c r="A114" s="176">
        <v>45652</v>
      </c>
      <c r="B114" s="177" t="s">
        <v>280</v>
      </c>
      <c r="C114" s="178">
        <v>308741</v>
      </c>
      <c r="D114" s="178">
        <v>1003898</v>
      </c>
      <c r="E114" s="178" t="s">
        <v>605</v>
      </c>
      <c r="F114" s="178" t="s">
        <v>606</v>
      </c>
      <c r="G114" s="178" t="s">
        <v>607</v>
      </c>
      <c r="H114" s="181">
        <v>51950</v>
      </c>
      <c r="J114" s="179">
        <v>12262024</v>
      </c>
      <c r="K114" s="180">
        <v>1015</v>
      </c>
      <c r="L114" s="180" t="s">
        <v>325</v>
      </c>
      <c r="M114" s="181"/>
      <c r="N114" s="181"/>
      <c r="O114" s="181"/>
      <c r="Q114" s="182"/>
      <c r="S114" s="180"/>
      <c r="U114" s="180"/>
      <c r="V114" s="199"/>
    </row>
    <row r="115" spans="1:22">
      <c r="A115" s="176">
        <v>45677</v>
      </c>
      <c r="B115" s="177" t="s">
        <v>274</v>
      </c>
      <c r="C115" s="179" t="s">
        <v>87</v>
      </c>
      <c r="D115" s="178">
        <v>1000717</v>
      </c>
      <c r="E115" s="178" t="s">
        <v>85</v>
      </c>
      <c r="F115" s="178" t="s">
        <v>84</v>
      </c>
      <c r="G115" s="178" t="s">
        <v>86</v>
      </c>
      <c r="H115" s="181">
        <f>72793+123039.62</f>
        <v>195832.62</v>
      </c>
      <c r="I115" s="178"/>
      <c r="J115" s="179" t="s">
        <v>608</v>
      </c>
      <c r="K115" s="180">
        <v>1015</v>
      </c>
      <c r="L115" s="180" t="s">
        <v>325</v>
      </c>
      <c r="M115" s="181"/>
      <c r="N115" s="181"/>
      <c r="O115" s="181"/>
      <c r="P115" s="178"/>
      <c r="Q115" s="182"/>
      <c r="R115" s="178"/>
      <c r="S115" s="180"/>
      <c r="T115" s="178"/>
      <c r="U115" s="180"/>
    </row>
    <row r="116" spans="1:22">
      <c r="A116" s="200">
        <v>45684</v>
      </c>
      <c r="B116" s="201" t="s">
        <v>280</v>
      </c>
      <c r="C116" s="204" t="s">
        <v>43</v>
      </c>
      <c r="D116" s="202">
        <v>1005428</v>
      </c>
      <c r="E116" s="202" t="s">
        <v>41</v>
      </c>
      <c r="F116" s="202" t="s">
        <v>39</v>
      </c>
      <c r="G116" s="202" t="s">
        <v>42</v>
      </c>
      <c r="H116" s="203">
        <f>61610.6+19000</f>
        <v>80610.600000000006</v>
      </c>
      <c r="I116" s="202"/>
      <c r="J116" s="204"/>
      <c r="K116" s="205">
        <v>1015</v>
      </c>
      <c r="L116" s="205" t="s">
        <v>278</v>
      </c>
      <c r="M116" s="181"/>
      <c r="N116" s="181"/>
      <c r="O116" s="181"/>
      <c r="P116" s="178"/>
      <c r="Q116" s="182"/>
      <c r="R116" s="178"/>
      <c r="S116" s="180"/>
      <c r="T116" s="178"/>
      <c r="U116" s="180"/>
    </row>
    <row r="117" spans="1:22">
      <c r="A117" s="200">
        <v>45660</v>
      </c>
      <c r="B117" s="201" t="s">
        <v>280</v>
      </c>
      <c r="C117" s="202">
        <v>310654</v>
      </c>
      <c r="D117" s="202">
        <v>1003023</v>
      </c>
      <c r="E117" s="202" t="s">
        <v>46</v>
      </c>
      <c r="F117" s="202" t="s">
        <v>44</v>
      </c>
      <c r="G117" s="202"/>
      <c r="H117" s="203">
        <v>9630</v>
      </c>
      <c r="I117" s="202"/>
      <c r="J117" s="204">
        <v>145843</v>
      </c>
      <c r="K117" s="205">
        <v>1015</v>
      </c>
      <c r="L117" s="205" t="s">
        <v>278</v>
      </c>
      <c r="M117" s="181"/>
      <c r="N117" s="181"/>
      <c r="O117" s="181"/>
      <c r="P117" s="178"/>
      <c r="Q117" s="182"/>
      <c r="R117" s="178"/>
      <c r="S117" s="180"/>
      <c r="T117" s="178"/>
      <c r="U117" s="180"/>
    </row>
    <row r="118" spans="1:22">
      <c r="A118" s="200">
        <v>45660</v>
      </c>
      <c r="B118" s="201" t="s">
        <v>280</v>
      </c>
      <c r="C118" s="202">
        <v>310654</v>
      </c>
      <c r="D118" s="202">
        <v>1003023</v>
      </c>
      <c r="E118" s="202" t="s">
        <v>48</v>
      </c>
      <c r="F118" s="202" t="s">
        <v>47</v>
      </c>
      <c r="G118" s="202"/>
      <c r="H118" s="203">
        <v>3210</v>
      </c>
      <c r="I118" s="202"/>
      <c r="J118" s="204">
        <v>145843</v>
      </c>
      <c r="K118" s="205">
        <v>1015</v>
      </c>
      <c r="L118" s="205" t="s">
        <v>278</v>
      </c>
      <c r="M118" s="181"/>
      <c r="N118" s="181"/>
      <c r="O118" s="181"/>
      <c r="P118" s="178"/>
      <c r="Q118" s="182"/>
      <c r="R118" s="178"/>
      <c r="S118" s="180"/>
      <c r="T118" s="178"/>
      <c r="U118" s="180"/>
    </row>
    <row r="119" spans="1:22">
      <c r="A119" s="200">
        <v>45678</v>
      </c>
      <c r="B119" s="201" t="s">
        <v>274</v>
      </c>
      <c r="C119" s="202">
        <v>311006</v>
      </c>
      <c r="D119" s="202">
        <v>1005774</v>
      </c>
      <c r="E119" s="202" t="s">
        <v>90</v>
      </c>
      <c r="F119" s="202" t="s">
        <v>88</v>
      </c>
      <c r="G119" s="202" t="s">
        <v>91</v>
      </c>
      <c r="H119" s="203">
        <v>47344.38</v>
      </c>
      <c r="I119" s="202"/>
      <c r="J119" s="204">
        <v>1748</v>
      </c>
      <c r="K119" s="205">
        <v>1015</v>
      </c>
      <c r="L119" s="205" t="s">
        <v>325</v>
      </c>
      <c r="M119" s="181"/>
      <c r="N119" s="181"/>
      <c r="O119" s="181"/>
      <c r="P119" s="178"/>
      <c r="Q119" s="182"/>
      <c r="R119" s="178"/>
      <c r="S119" s="180"/>
      <c r="T119" s="178"/>
      <c r="U119" s="180"/>
    </row>
    <row r="120" spans="1:22">
      <c r="A120" s="200">
        <v>45678</v>
      </c>
      <c r="B120" s="201" t="s">
        <v>274</v>
      </c>
      <c r="C120" s="202">
        <v>311006</v>
      </c>
      <c r="D120" s="202">
        <v>1005774</v>
      </c>
      <c r="E120" s="202" t="s">
        <v>93</v>
      </c>
      <c r="F120" s="202" t="s">
        <v>92</v>
      </c>
      <c r="G120" s="202" t="s">
        <v>94</v>
      </c>
      <c r="H120" s="203">
        <v>47344.38</v>
      </c>
      <c r="I120" s="202"/>
      <c r="J120" s="204">
        <v>1748</v>
      </c>
      <c r="K120" s="205">
        <v>1015</v>
      </c>
      <c r="L120" s="205" t="s">
        <v>325</v>
      </c>
      <c r="M120" s="181"/>
      <c r="N120" s="181"/>
      <c r="O120" s="181"/>
      <c r="P120" s="178"/>
      <c r="Q120" s="182"/>
      <c r="R120" s="178"/>
      <c r="S120" s="180"/>
      <c r="T120" s="178"/>
      <c r="U120" s="180"/>
    </row>
    <row r="121" spans="1:22">
      <c r="A121" s="200">
        <v>45678</v>
      </c>
      <c r="B121" s="201" t="s">
        <v>274</v>
      </c>
      <c r="C121" s="202">
        <v>311006</v>
      </c>
      <c r="D121" s="202">
        <v>1005774</v>
      </c>
      <c r="E121" s="202" t="s">
        <v>96</v>
      </c>
      <c r="F121" s="202" t="s">
        <v>95</v>
      </c>
      <c r="G121" s="202" t="s">
        <v>97</v>
      </c>
      <c r="H121" s="203">
        <v>47344.38</v>
      </c>
      <c r="I121" s="202"/>
      <c r="J121" s="204">
        <v>1748</v>
      </c>
      <c r="K121" s="205">
        <v>1015</v>
      </c>
      <c r="L121" s="205" t="s">
        <v>325</v>
      </c>
      <c r="M121" s="181"/>
      <c r="N121" s="181"/>
      <c r="O121" s="181"/>
      <c r="P121" s="178"/>
      <c r="Q121" s="182"/>
      <c r="R121" s="178"/>
      <c r="S121" s="180"/>
      <c r="T121" s="178"/>
      <c r="U121" s="180"/>
    </row>
    <row r="122" spans="1:22">
      <c r="A122" s="200">
        <v>45678</v>
      </c>
      <c r="B122" s="201" t="s">
        <v>274</v>
      </c>
      <c r="C122" s="202">
        <v>311006</v>
      </c>
      <c r="D122" s="202">
        <v>1005774</v>
      </c>
      <c r="E122" s="202" t="s">
        <v>99</v>
      </c>
      <c r="F122" s="202" t="s">
        <v>98</v>
      </c>
      <c r="G122" s="202" t="s">
        <v>100</v>
      </c>
      <c r="H122" s="203">
        <v>47344.38</v>
      </c>
      <c r="I122" s="202"/>
      <c r="J122" s="204">
        <v>1748</v>
      </c>
      <c r="K122" s="205">
        <v>1015</v>
      </c>
      <c r="L122" s="205" t="s">
        <v>325</v>
      </c>
      <c r="M122" s="181"/>
      <c r="N122" s="181"/>
      <c r="O122" s="181"/>
      <c r="P122" s="178"/>
      <c r="Q122" s="182"/>
      <c r="R122" s="178"/>
      <c r="S122" s="180"/>
      <c r="T122" s="178"/>
      <c r="U122" s="180"/>
    </row>
    <row r="123" spans="1:22">
      <c r="A123" s="200">
        <v>45685</v>
      </c>
      <c r="B123" s="201" t="s">
        <v>280</v>
      </c>
      <c r="C123" s="293">
        <v>311778</v>
      </c>
      <c r="D123" s="202">
        <v>1005790</v>
      </c>
      <c r="E123" s="202" t="s">
        <v>609</v>
      </c>
      <c r="F123" s="202"/>
      <c r="G123" s="202"/>
      <c r="H123" s="203">
        <f>14983.72+14983.72</f>
        <v>29967.439999999999</v>
      </c>
      <c r="I123" s="202"/>
      <c r="J123" s="204">
        <v>1760</v>
      </c>
      <c r="K123" s="205">
        <v>1015</v>
      </c>
      <c r="L123" s="205" t="s">
        <v>325</v>
      </c>
      <c r="M123" s="181"/>
      <c r="N123" s="181"/>
      <c r="O123" s="181"/>
      <c r="P123" s="178"/>
      <c r="Q123" s="182"/>
      <c r="R123" s="178"/>
      <c r="S123" s="180"/>
      <c r="T123" s="178"/>
      <c r="U123" s="180"/>
    </row>
    <row r="124" spans="1:22">
      <c r="A124" s="200">
        <v>45687</v>
      </c>
      <c r="B124" s="201" t="s">
        <v>274</v>
      </c>
      <c r="C124" s="204" t="s">
        <v>104</v>
      </c>
      <c r="D124" s="202">
        <v>1005788</v>
      </c>
      <c r="E124" s="202" t="s">
        <v>102</v>
      </c>
      <c r="F124" s="202" t="s">
        <v>101</v>
      </c>
      <c r="G124" s="202" t="s">
        <v>103</v>
      </c>
      <c r="H124" s="203">
        <f>6000+93860.63</f>
        <v>99860.63</v>
      </c>
      <c r="I124" s="202"/>
      <c r="J124" s="204">
        <v>1755</v>
      </c>
      <c r="K124" s="205">
        <v>1015</v>
      </c>
      <c r="L124" s="205" t="s">
        <v>325</v>
      </c>
      <c r="M124" s="181"/>
      <c r="N124" s="181"/>
      <c r="O124" s="181"/>
      <c r="P124" s="178"/>
      <c r="Q124" s="182"/>
      <c r="R124" s="178"/>
      <c r="S124" s="180"/>
      <c r="T124" s="178"/>
      <c r="U124" s="180"/>
    </row>
    <row r="125" spans="1:22">
      <c r="A125" s="200">
        <v>45688</v>
      </c>
      <c r="B125" s="201" t="s">
        <v>280</v>
      </c>
      <c r="C125" s="293">
        <v>311623</v>
      </c>
      <c r="D125" s="202">
        <v>1005789</v>
      </c>
      <c r="E125" s="202" t="s">
        <v>610</v>
      </c>
      <c r="F125" s="202"/>
      <c r="G125" s="202"/>
      <c r="H125" s="203">
        <v>27592.67</v>
      </c>
      <c r="I125" s="202"/>
      <c r="J125" s="204">
        <v>1757</v>
      </c>
      <c r="K125" s="205">
        <v>1015</v>
      </c>
      <c r="L125" s="205" t="s">
        <v>325</v>
      </c>
      <c r="M125" s="181"/>
      <c r="N125" s="181"/>
      <c r="O125" s="181"/>
      <c r="P125" s="178"/>
      <c r="Q125" s="182"/>
      <c r="R125" s="178"/>
      <c r="S125" s="180"/>
      <c r="T125" s="178"/>
      <c r="U125" s="180"/>
    </row>
    <row r="126" spans="1:22">
      <c r="A126" s="200">
        <v>45693</v>
      </c>
      <c r="B126" s="201" t="s">
        <v>274</v>
      </c>
      <c r="C126" s="204" t="s">
        <v>114</v>
      </c>
      <c r="D126" s="206">
        <v>1000702</v>
      </c>
      <c r="E126" s="178" t="s">
        <v>112</v>
      </c>
      <c r="F126" s="207" t="s">
        <v>111</v>
      </c>
      <c r="G126" s="202" t="s">
        <v>113</v>
      </c>
      <c r="H126" s="203">
        <v>67926.679999999993</v>
      </c>
      <c r="I126" s="202"/>
      <c r="J126" s="204">
        <v>1764</v>
      </c>
      <c r="K126" s="205">
        <v>1015</v>
      </c>
      <c r="L126" s="205" t="s">
        <v>325</v>
      </c>
      <c r="M126" s="181"/>
      <c r="N126" s="181"/>
      <c r="O126" s="181"/>
      <c r="P126" s="178"/>
      <c r="Q126" s="182"/>
      <c r="R126" s="178"/>
      <c r="S126" s="180"/>
      <c r="T126" s="178"/>
      <c r="U126" s="180"/>
    </row>
    <row r="127" spans="1:22">
      <c r="A127" s="200">
        <v>45693</v>
      </c>
      <c r="B127" s="201" t="s">
        <v>274</v>
      </c>
      <c r="C127" s="204" t="s">
        <v>119</v>
      </c>
      <c r="D127" s="206">
        <v>1000702</v>
      </c>
      <c r="E127" s="208" t="s">
        <v>117</v>
      </c>
      <c r="F127" s="202" t="s">
        <v>116</v>
      </c>
      <c r="G127" s="202" t="s">
        <v>118</v>
      </c>
      <c r="H127" s="203">
        <v>67926.679999999993</v>
      </c>
      <c r="I127" s="202"/>
      <c r="J127" s="204">
        <v>1764</v>
      </c>
      <c r="K127" s="205">
        <v>1015</v>
      </c>
      <c r="L127" s="205" t="s">
        <v>325</v>
      </c>
      <c r="M127" s="181"/>
      <c r="N127" s="181"/>
      <c r="O127" s="181"/>
      <c r="P127" s="178"/>
      <c r="Q127" s="182"/>
      <c r="R127" s="178"/>
      <c r="S127" s="180"/>
      <c r="T127" s="178"/>
      <c r="U127" s="180"/>
    </row>
    <row r="128" spans="1:22">
      <c r="A128" s="200">
        <v>45693</v>
      </c>
      <c r="B128" s="201" t="s">
        <v>274</v>
      </c>
      <c r="C128" s="204" t="s">
        <v>124</v>
      </c>
      <c r="D128" s="206">
        <v>1000702</v>
      </c>
      <c r="E128" s="202" t="s">
        <v>122</v>
      </c>
      <c r="F128" s="202" t="s">
        <v>121</v>
      </c>
      <c r="G128" s="202" t="s">
        <v>123</v>
      </c>
      <c r="H128" s="203">
        <v>67926.679999999993</v>
      </c>
      <c r="I128" s="202"/>
      <c r="J128" s="204">
        <v>1764</v>
      </c>
      <c r="K128" s="205">
        <v>1015</v>
      </c>
      <c r="L128" s="205" t="s">
        <v>325</v>
      </c>
      <c r="M128" s="181"/>
      <c r="N128" s="181"/>
      <c r="O128" s="181"/>
      <c r="P128" s="178"/>
      <c r="Q128" s="182"/>
      <c r="R128" s="178"/>
      <c r="S128" s="180"/>
      <c r="T128" s="178"/>
      <c r="U128" s="180"/>
    </row>
    <row r="129" spans="1:21">
      <c r="A129" s="200">
        <v>45693</v>
      </c>
      <c r="B129" s="201" t="s">
        <v>274</v>
      </c>
      <c r="C129" s="204" t="s">
        <v>128</v>
      </c>
      <c r="D129" s="206">
        <v>1000702</v>
      </c>
      <c r="E129" s="202" t="s">
        <v>126</v>
      </c>
      <c r="F129" s="202" t="s">
        <v>125</v>
      </c>
      <c r="G129" s="202" t="s">
        <v>127</v>
      </c>
      <c r="H129" s="203">
        <v>67926.679999999993</v>
      </c>
      <c r="I129" s="202"/>
      <c r="J129" s="204">
        <v>1764</v>
      </c>
      <c r="K129" s="205">
        <v>1015</v>
      </c>
      <c r="L129" s="205" t="s">
        <v>325</v>
      </c>
      <c r="M129" s="181"/>
      <c r="N129" s="181"/>
      <c r="O129" s="181"/>
      <c r="P129" s="178"/>
      <c r="Q129" s="182"/>
      <c r="R129" s="178"/>
      <c r="S129" s="180"/>
      <c r="T129" s="178"/>
      <c r="U129" s="180"/>
    </row>
    <row r="130" spans="1:21">
      <c r="A130" s="200">
        <v>45693</v>
      </c>
      <c r="B130" s="201" t="s">
        <v>274</v>
      </c>
      <c r="C130" s="202">
        <v>311790</v>
      </c>
      <c r="D130" s="202">
        <v>1003730</v>
      </c>
      <c r="E130" s="202" t="s">
        <v>106</v>
      </c>
      <c r="F130" s="202" t="s">
        <v>105</v>
      </c>
      <c r="G130" s="202" t="s">
        <v>611</v>
      </c>
      <c r="H130" s="203">
        <v>57872.76</v>
      </c>
      <c r="I130" s="202"/>
      <c r="J130" s="204">
        <v>146290</v>
      </c>
      <c r="K130" s="205">
        <v>1015</v>
      </c>
      <c r="L130" s="205" t="s">
        <v>278</v>
      </c>
      <c r="M130" s="181"/>
      <c r="N130" s="181"/>
      <c r="O130" s="181"/>
      <c r="P130" s="178"/>
      <c r="Q130" s="182"/>
      <c r="R130" s="178"/>
      <c r="S130" s="180"/>
      <c r="T130" s="178"/>
      <c r="U130" s="180"/>
    </row>
    <row r="131" spans="1:21">
      <c r="A131" s="200">
        <v>45693</v>
      </c>
      <c r="B131" s="201" t="s">
        <v>274</v>
      </c>
      <c r="C131" s="202">
        <v>311753</v>
      </c>
      <c r="D131" s="202">
        <v>1003730</v>
      </c>
      <c r="E131" s="202" t="s">
        <v>109</v>
      </c>
      <c r="F131" s="202" t="s">
        <v>108</v>
      </c>
      <c r="G131" s="202" t="s">
        <v>110</v>
      </c>
      <c r="H131" s="203">
        <v>57872.76</v>
      </c>
      <c r="I131" s="202"/>
      <c r="J131" s="204">
        <v>146290</v>
      </c>
      <c r="K131" s="205">
        <v>1015</v>
      </c>
      <c r="L131" s="205" t="s">
        <v>278</v>
      </c>
      <c r="M131" s="181"/>
      <c r="N131" s="181"/>
      <c r="O131" s="181"/>
      <c r="P131" s="178"/>
      <c r="Q131" s="182"/>
      <c r="R131" s="178"/>
      <c r="S131" s="180"/>
      <c r="T131" s="178"/>
      <c r="U131" s="180"/>
    </row>
    <row r="132" spans="1:21">
      <c r="A132" s="200">
        <v>45700</v>
      </c>
      <c r="B132" s="201" t="s">
        <v>280</v>
      </c>
      <c r="C132" s="293">
        <v>312506</v>
      </c>
      <c r="D132" s="202">
        <v>1005790</v>
      </c>
      <c r="E132" s="202" t="s">
        <v>609</v>
      </c>
      <c r="F132" s="202"/>
      <c r="G132" s="202"/>
      <c r="H132" s="203">
        <v>30757.200000000001</v>
      </c>
      <c r="I132" s="202"/>
      <c r="J132" s="204">
        <v>1783</v>
      </c>
      <c r="K132" s="205">
        <v>1015</v>
      </c>
      <c r="L132" s="205" t="s">
        <v>325</v>
      </c>
      <c r="M132" s="181"/>
      <c r="N132" s="181"/>
      <c r="O132" s="181"/>
      <c r="P132" s="178"/>
      <c r="Q132" s="182"/>
      <c r="R132" s="178"/>
      <c r="S132" s="180"/>
      <c r="T132" s="178"/>
      <c r="U132" s="180"/>
    </row>
    <row r="133" spans="1:21">
      <c r="A133" s="200">
        <v>45706</v>
      </c>
      <c r="B133" s="201" t="s">
        <v>280</v>
      </c>
      <c r="C133" s="202">
        <v>312947</v>
      </c>
      <c r="D133" s="202">
        <v>1001085</v>
      </c>
      <c r="E133" s="202" t="s">
        <v>148</v>
      </c>
      <c r="F133" s="202" t="s">
        <v>147</v>
      </c>
      <c r="G133" s="202" t="s">
        <v>612</v>
      </c>
      <c r="H133" s="203">
        <v>30240.75</v>
      </c>
      <c r="I133" s="202"/>
      <c r="J133" s="204">
        <v>1804</v>
      </c>
      <c r="K133" s="205">
        <v>1015</v>
      </c>
      <c r="L133" s="205" t="s">
        <v>325</v>
      </c>
      <c r="M133" s="181"/>
      <c r="N133" s="181"/>
      <c r="O133" s="181"/>
      <c r="P133" s="178"/>
      <c r="Q133" s="182"/>
      <c r="R133" s="178"/>
      <c r="S133" s="180"/>
      <c r="T133" s="178"/>
      <c r="U133" s="180"/>
    </row>
    <row r="134" spans="1:21">
      <c r="A134" s="200">
        <v>45733</v>
      </c>
      <c r="B134" s="201" t="s">
        <v>280</v>
      </c>
      <c r="C134" s="202">
        <v>313672</v>
      </c>
      <c r="D134" s="202">
        <v>1005282</v>
      </c>
      <c r="E134" s="202" t="s">
        <v>160</v>
      </c>
      <c r="F134" s="202" t="s">
        <v>159</v>
      </c>
      <c r="G134" s="202" t="s">
        <v>161</v>
      </c>
      <c r="H134" s="203">
        <v>119759.14</v>
      </c>
      <c r="I134" s="202"/>
      <c r="J134" s="204">
        <v>1814</v>
      </c>
      <c r="K134" s="205">
        <v>1015</v>
      </c>
      <c r="L134" s="205" t="s">
        <v>325</v>
      </c>
      <c r="M134" s="203"/>
      <c r="N134" s="203"/>
      <c r="O134" s="203"/>
      <c r="P134" s="202"/>
      <c r="Q134" s="299"/>
      <c r="R134" s="202"/>
      <c r="S134" s="205"/>
      <c r="T134" s="202"/>
      <c r="U134" s="205"/>
    </row>
    <row r="135" spans="1:21">
      <c r="A135" s="176">
        <v>45719</v>
      </c>
      <c r="B135" s="177" t="s">
        <v>274</v>
      </c>
      <c r="C135" s="179" t="s">
        <v>53</v>
      </c>
      <c r="D135" s="178">
        <v>1004373</v>
      </c>
      <c r="E135" s="178" t="s">
        <v>51</v>
      </c>
      <c r="F135" s="178" t="s">
        <v>49</v>
      </c>
      <c r="G135" s="178" t="s">
        <v>52</v>
      </c>
      <c r="H135" s="181">
        <v>45850.75</v>
      </c>
      <c r="I135" s="178"/>
      <c r="J135" s="179">
        <v>147000</v>
      </c>
      <c r="K135" s="180">
        <v>1015</v>
      </c>
      <c r="L135" s="180" t="s">
        <v>278</v>
      </c>
      <c r="M135" s="181"/>
      <c r="N135" s="181"/>
      <c r="O135" s="181"/>
      <c r="P135" s="178"/>
      <c r="Q135" s="182"/>
      <c r="R135" s="178"/>
      <c r="S135" s="180"/>
      <c r="T135" s="178"/>
      <c r="U135" s="180"/>
    </row>
    <row r="136" spans="1:21">
      <c r="A136" s="176">
        <v>45719</v>
      </c>
      <c r="B136" s="177" t="s">
        <v>274</v>
      </c>
      <c r="C136" s="179" t="s">
        <v>53</v>
      </c>
      <c r="D136" s="178">
        <v>1004373</v>
      </c>
      <c r="E136" s="178" t="s">
        <v>55</v>
      </c>
      <c r="F136" s="178" t="s">
        <v>54</v>
      </c>
      <c r="G136" s="178" t="s">
        <v>56</v>
      </c>
      <c r="H136" s="181">
        <v>44174.06</v>
      </c>
      <c r="I136" s="178"/>
      <c r="J136" s="179">
        <v>147000</v>
      </c>
      <c r="K136" s="180">
        <v>1015</v>
      </c>
      <c r="L136" s="180" t="s">
        <v>278</v>
      </c>
      <c r="M136" s="181"/>
      <c r="N136" s="181"/>
      <c r="O136" s="181"/>
      <c r="P136" s="178"/>
      <c r="Q136" s="182"/>
      <c r="R136" s="178"/>
      <c r="S136" s="180"/>
      <c r="T136" s="178"/>
      <c r="U136" s="180"/>
    </row>
    <row r="137" spans="1:21">
      <c r="A137" s="176">
        <v>45721</v>
      </c>
      <c r="B137" s="177" t="s">
        <v>274</v>
      </c>
      <c r="C137" s="179">
        <v>314310</v>
      </c>
      <c r="D137" s="178">
        <v>1005596</v>
      </c>
      <c r="E137" s="178" t="s">
        <v>58</v>
      </c>
      <c r="F137" s="178" t="s">
        <v>57</v>
      </c>
      <c r="G137" s="178" t="s">
        <v>59</v>
      </c>
      <c r="H137" s="181">
        <v>50110.03</v>
      </c>
      <c r="I137" s="178"/>
      <c r="J137" s="179">
        <v>147100</v>
      </c>
      <c r="K137" s="180">
        <v>1015</v>
      </c>
      <c r="L137" s="180" t="s">
        <v>278</v>
      </c>
      <c r="M137" s="181"/>
      <c r="N137" s="181"/>
      <c r="O137" s="181"/>
      <c r="P137" s="178"/>
      <c r="Q137" s="182"/>
      <c r="R137" s="178"/>
      <c r="S137" s="180"/>
      <c r="T137" s="178"/>
      <c r="U137" s="180"/>
    </row>
    <row r="138" spans="1:21">
      <c r="A138" s="176">
        <v>45721</v>
      </c>
      <c r="B138" s="177" t="s">
        <v>274</v>
      </c>
      <c r="C138" s="179">
        <v>314308</v>
      </c>
      <c r="D138" s="178">
        <v>1005596</v>
      </c>
      <c r="E138" s="178" t="s">
        <v>61</v>
      </c>
      <c r="F138" s="178" t="s">
        <v>60</v>
      </c>
      <c r="G138" s="178" t="s">
        <v>62</v>
      </c>
      <c r="H138" s="181">
        <v>51855.199999999997</v>
      </c>
      <c r="I138" s="178"/>
      <c r="J138" s="179">
        <v>147100</v>
      </c>
      <c r="K138" s="180">
        <v>1015</v>
      </c>
      <c r="L138" s="180" t="s">
        <v>278</v>
      </c>
      <c r="M138" s="181"/>
      <c r="N138" s="181"/>
      <c r="O138" s="181"/>
      <c r="P138" s="178"/>
      <c r="Q138" s="182"/>
      <c r="R138" s="178"/>
      <c r="S138" s="180"/>
      <c r="T138" s="178"/>
      <c r="U138" s="180"/>
    </row>
    <row r="139" spans="1:21">
      <c r="A139" s="176">
        <v>45721</v>
      </c>
      <c r="B139" s="177" t="s">
        <v>274</v>
      </c>
      <c r="C139" s="179">
        <v>314307</v>
      </c>
      <c r="D139" s="178">
        <v>1005596</v>
      </c>
      <c r="E139" s="178" t="s">
        <v>64</v>
      </c>
      <c r="F139" s="178" t="s">
        <v>63</v>
      </c>
      <c r="G139" s="178" t="s">
        <v>65</v>
      </c>
      <c r="H139" s="181">
        <v>51320.2</v>
      </c>
      <c r="I139" s="178"/>
      <c r="J139" s="179">
        <v>147100</v>
      </c>
      <c r="K139" s="180">
        <v>1015</v>
      </c>
      <c r="L139" s="180" t="s">
        <v>278</v>
      </c>
      <c r="M139" s="181"/>
      <c r="N139" s="181"/>
      <c r="O139" s="181"/>
      <c r="P139" s="178"/>
      <c r="Q139" s="182"/>
      <c r="R139" s="178"/>
      <c r="S139" s="180"/>
      <c r="T139" s="178"/>
      <c r="U139" s="180"/>
    </row>
    <row r="140" spans="1:21">
      <c r="A140" s="200">
        <v>45721</v>
      </c>
      <c r="B140" s="201" t="s">
        <v>274</v>
      </c>
      <c r="C140" s="204">
        <v>314309</v>
      </c>
      <c r="D140" s="202">
        <v>1005596</v>
      </c>
      <c r="E140" s="202" t="s">
        <v>67</v>
      </c>
      <c r="F140" s="202" t="s">
        <v>66</v>
      </c>
      <c r="G140" s="202" t="s">
        <v>68</v>
      </c>
      <c r="H140" s="203">
        <v>52518.6</v>
      </c>
      <c r="I140" s="202"/>
      <c r="J140" s="204">
        <v>147100</v>
      </c>
      <c r="K140" s="205">
        <v>1015</v>
      </c>
      <c r="L140" s="205" t="s">
        <v>278</v>
      </c>
      <c r="M140" s="203"/>
      <c r="N140" s="203"/>
      <c r="O140" s="203"/>
      <c r="P140" s="202"/>
      <c r="Q140" s="299"/>
      <c r="R140" s="202"/>
      <c r="S140" s="205"/>
      <c r="T140" s="202"/>
      <c r="U140" s="205"/>
    </row>
    <row r="141" spans="1:21">
      <c r="A141" s="176">
        <v>45737</v>
      </c>
      <c r="B141" s="177" t="s">
        <v>280</v>
      </c>
      <c r="C141" s="178">
        <v>315758</v>
      </c>
      <c r="D141" s="178">
        <v>1005428</v>
      </c>
      <c r="E141" s="178" t="s">
        <v>70</v>
      </c>
      <c r="F141" s="178" t="s">
        <v>69</v>
      </c>
      <c r="G141" s="178" t="s">
        <v>71</v>
      </c>
      <c r="H141" s="181">
        <v>190032</v>
      </c>
      <c r="I141" s="178"/>
      <c r="J141" s="179">
        <v>147627</v>
      </c>
      <c r="K141" s="180">
        <v>1015</v>
      </c>
      <c r="L141" s="180" t="s">
        <v>278</v>
      </c>
      <c r="M141" s="181"/>
      <c r="N141" s="316"/>
      <c r="O141" s="181"/>
      <c r="P141" s="178"/>
      <c r="Q141" s="182"/>
      <c r="R141" s="178"/>
      <c r="S141" s="180"/>
      <c r="T141" s="178"/>
      <c r="U141" s="180"/>
    </row>
    <row r="142" spans="1:21">
      <c r="A142" s="200">
        <v>45737</v>
      </c>
      <c r="B142" s="201" t="s">
        <v>274</v>
      </c>
      <c r="C142" s="202">
        <v>315767</v>
      </c>
      <c r="D142" s="202">
        <v>1002022</v>
      </c>
      <c r="E142" s="202" t="s">
        <v>73</v>
      </c>
      <c r="F142" s="202" t="s">
        <v>72</v>
      </c>
      <c r="G142" s="202" t="s">
        <v>74</v>
      </c>
      <c r="H142" s="203">
        <v>171045</v>
      </c>
      <c r="I142" s="202"/>
      <c r="J142" s="204">
        <v>147626</v>
      </c>
      <c r="K142" s="205">
        <v>1015</v>
      </c>
      <c r="L142" s="205" t="s">
        <v>278</v>
      </c>
      <c r="M142" s="203"/>
      <c r="N142" s="317"/>
      <c r="O142" s="181"/>
      <c r="P142" s="178"/>
      <c r="Q142" s="182"/>
      <c r="R142" s="178"/>
      <c r="S142" s="180"/>
      <c r="T142" s="178"/>
      <c r="U142" s="180"/>
    </row>
    <row r="143" spans="1:21">
      <c r="A143" s="176">
        <v>45709</v>
      </c>
      <c r="B143" s="177" t="s">
        <v>280</v>
      </c>
      <c r="C143" s="178">
        <v>5359</v>
      </c>
      <c r="D143" s="178">
        <v>1003610</v>
      </c>
      <c r="E143" s="178" t="s">
        <v>151</v>
      </c>
      <c r="F143" s="178" t="s">
        <v>150</v>
      </c>
      <c r="G143" s="178" t="s">
        <v>152</v>
      </c>
      <c r="H143" s="322">
        <v>91825.98</v>
      </c>
      <c r="I143" s="178"/>
      <c r="J143" s="179"/>
      <c r="K143" s="180"/>
      <c r="L143" s="180" t="s">
        <v>613</v>
      </c>
      <c r="M143" s="181"/>
      <c r="N143" s="181"/>
      <c r="O143" s="318"/>
      <c r="P143" s="319"/>
      <c r="Q143" s="320"/>
      <c r="R143" s="319"/>
      <c r="S143" s="321"/>
      <c r="T143" s="319"/>
      <c r="U143" s="321"/>
    </row>
    <row r="144" spans="1:21">
      <c r="A144" s="176">
        <v>45709</v>
      </c>
      <c r="B144" s="177" t="s">
        <v>280</v>
      </c>
      <c r="C144" s="178">
        <v>5359</v>
      </c>
      <c r="D144" s="178">
        <v>1003610</v>
      </c>
      <c r="E144" s="178" t="s">
        <v>154</v>
      </c>
      <c r="F144" s="178" t="s">
        <v>153</v>
      </c>
      <c r="G144" s="178" t="s">
        <v>155</v>
      </c>
      <c r="H144" s="322">
        <v>91825.98</v>
      </c>
      <c r="I144" s="178"/>
      <c r="J144" s="179"/>
      <c r="K144" s="180"/>
      <c r="L144" s="180" t="s">
        <v>613</v>
      </c>
      <c r="M144" s="181"/>
      <c r="N144" s="181"/>
      <c r="O144" s="181"/>
      <c r="P144" s="178"/>
      <c r="Q144" s="182"/>
      <c r="R144" s="178"/>
      <c r="S144" s="180"/>
      <c r="T144" s="178"/>
      <c r="U144" s="180"/>
    </row>
    <row r="145" spans="1:21">
      <c r="A145" s="176">
        <v>45709</v>
      </c>
      <c r="B145" s="177" t="s">
        <v>280</v>
      </c>
      <c r="C145" s="178">
        <v>5359</v>
      </c>
      <c r="D145" s="178">
        <v>1003610</v>
      </c>
      <c r="E145" s="178" t="s">
        <v>157</v>
      </c>
      <c r="F145" s="178" t="s">
        <v>156</v>
      </c>
      <c r="G145" s="178" t="s">
        <v>158</v>
      </c>
      <c r="H145" s="322">
        <v>91825.98</v>
      </c>
      <c r="I145" s="178"/>
      <c r="J145" s="179"/>
      <c r="K145" s="180"/>
      <c r="L145" s="180" t="s">
        <v>613</v>
      </c>
      <c r="M145" s="181"/>
      <c r="N145" s="181"/>
      <c r="O145" s="181"/>
      <c r="P145" s="178"/>
      <c r="Q145" s="182"/>
      <c r="R145" s="178"/>
      <c r="S145" s="180"/>
      <c r="T145" s="178"/>
      <c r="U145" s="180"/>
    </row>
    <row r="146" spans="1:21">
      <c r="A146" s="176">
        <v>45729</v>
      </c>
      <c r="B146" s="177" t="s">
        <v>280</v>
      </c>
      <c r="C146" s="178">
        <v>5393</v>
      </c>
      <c r="D146" s="178">
        <v>1002293</v>
      </c>
      <c r="E146" s="178" t="s">
        <v>130</v>
      </c>
      <c r="F146" s="178" t="s">
        <v>129</v>
      </c>
      <c r="G146" s="178" t="s">
        <v>131</v>
      </c>
      <c r="H146" s="322">
        <v>380082.98</v>
      </c>
      <c r="I146" s="178"/>
      <c r="J146" s="179"/>
      <c r="K146" s="180"/>
      <c r="L146" s="180" t="s">
        <v>613</v>
      </c>
      <c r="M146" s="181"/>
      <c r="N146" s="181"/>
      <c r="O146" s="181"/>
      <c r="P146" s="178"/>
      <c r="Q146" s="182"/>
      <c r="R146" s="178"/>
      <c r="S146" s="180"/>
      <c r="T146" s="178"/>
      <c r="U146" s="180"/>
    </row>
    <row r="147" spans="1:21">
      <c r="A147" s="176">
        <v>45727</v>
      </c>
      <c r="B147" s="177" t="s">
        <v>280</v>
      </c>
      <c r="C147" s="178">
        <v>5393</v>
      </c>
      <c r="D147" s="178">
        <v>1002293</v>
      </c>
      <c r="E147" s="178" t="s">
        <v>133</v>
      </c>
      <c r="F147" s="178" t="s">
        <v>132</v>
      </c>
      <c r="G147" s="178" t="s">
        <v>134</v>
      </c>
      <c r="H147" s="322">
        <v>364268.3</v>
      </c>
      <c r="I147" s="178"/>
      <c r="J147" s="179"/>
      <c r="K147" s="180"/>
      <c r="L147" s="180" t="s">
        <v>613</v>
      </c>
      <c r="M147" s="181"/>
      <c r="N147" s="181"/>
      <c r="O147" s="181"/>
      <c r="P147" s="178"/>
      <c r="Q147" s="182"/>
      <c r="R147" s="178"/>
      <c r="S147" s="180"/>
      <c r="T147" s="178"/>
      <c r="U147" s="180"/>
    </row>
    <row r="148" spans="1:21">
      <c r="A148" s="176">
        <v>45761</v>
      </c>
      <c r="B148" s="177" t="s">
        <v>280</v>
      </c>
      <c r="C148" s="178"/>
      <c r="D148" s="178">
        <v>1005428</v>
      </c>
      <c r="E148" s="178" t="s">
        <v>187</v>
      </c>
      <c r="F148" s="178" t="s">
        <v>169</v>
      </c>
      <c r="G148" s="178" t="s">
        <v>614</v>
      </c>
      <c r="H148" s="322">
        <v>431232.94</v>
      </c>
      <c r="I148" s="178"/>
      <c r="J148" s="179"/>
      <c r="K148" s="180"/>
      <c r="L148" s="180" t="s">
        <v>613</v>
      </c>
      <c r="M148" s="181"/>
      <c r="N148" s="181"/>
      <c r="O148" s="181"/>
      <c r="P148" s="178"/>
      <c r="Q148" s="182"/>
      <c r="R148" s="178"/>
      <c r="S148" s="180"/>
      <c r="T148" s="178"/>
      <c r="U148" s="180"/>
    </row>
    <row r="149" spans="1:21">
      <c r="A149" s="176">
        <v>45763</v>
      </c>
      <c r="B149" s="177" t="s">
        <v>280</v>
      </c>
      <c r="C149" s="178">
        <v>318197</v>
      </c>
      <c r="D149" s="178">
        <v>1005428</v>
      </c>
      <c r="E149" s="178" t="s">
        <v>615</v>
      </c>
      <c r="F149" s="178" t="s">
        <v>174</v>
      </c>
      <c r="G149" s="178" t="s">
        <v>190</v>
      </c>
      <c r="H149" s="322">
        <v>75940.740000000005</v>
      </c>
      <c r="I149" s="178"/>
      <c r="J149" s="179"/>
      <c r="K149" s="180">
        <v>1015</v>
      </c>
      <c r="L149" s="180" t="s">
        <v>278</v>
      </c>
      <c r="M149" s="181"/>
      <c r="N149" s="181"/>
      <c r="O149" s="181"/>
      <c r="P149" s="178"/>
      <c r="Q149" s="182"/>
      <c r="R149" s="178"/>
      <c r="S149" s="180"/>
      <c r="T149" s="178"/>
      <c r="U149" s="180"/>
    </row>
    <row r="150" spans="1:21">
      <c r="A150" s="176">
        <v>45772</v>
      </c>
      <c r="B150" s="177" t="s">
        <v>280</v>
      </c>
      <c r="C150" s="178">
        <v>319208</v>
      </c>
      <c r="D150" s="178">
        <v>1001513</v>
      </c>
      <c r="E150" s="178" t="s">
        <v>616</v>
      </c>
      <c r="F150" s="178" t="s">
        <v>205</v>
      </c>
      <c r="G150" s="178" t="s">
        <v>207</v>
      </c>
      <c r="H150" s="322">
        <v>713375</v>
      </c>
      <c r="I150" s="178"/>
      <c r="J150" s="179">
        <v>200042525</v>
      </c>
      <c r="K150" s="180">
        <v>1015</v>
      </c>
      <c r="L150" s="180" t="s">
        <v>325</v>
      </c>
      <c r="M150" s="181"/>
      <c r="N150" s="181"/>
      <c r="O150" s="181"/>
      <c r="P150" s="178"/>
      <c r="Q150" s="182"/>
      <c r="R150" s="178"/>
      <c r="S150" s="180"/>
      <c r="T150" s="178"/>
      <c r="U150" s="180"/>
    </row>
    <row r="151" spans="1:21">
      <c r="A151" s="176">
        <v>45777</v>
      </c>
      <c r="B151" s="177" t="s">
        <v>280</v>
      </c>
      <c r="C151" s="178">
        <v>319551</v>
      </c>
      <c r="D151" s="178">
        <v>1000696</v>
      </c>
      <c r="E151" s="178" t="s">
        <v>617</v>
      </c>
      <c r="F151" s="178"/>
      <c r="G151" s="178" t="s">
        <v>193</v>
      </c>
      <c r="H151" s="322">
        <v>47500</v>
      </c>
      <c r="I151" s="178"/>
      <c r="J151" s="179">
        <v>222043025</v>
      </c>
      <c r="K151" s="180">
        <v>1015</v>
      </c>
      <c r="L151" s="180" t="s">
        <v>325</v>
      </c>
      <c r="M151" s="181"/>
      <c r="N151" s="181"/>
      <c r="O151" s="181"/>
      <c r="P151" s="178"/>
      <c r="Q151" s="182"/>
      <c r="R151" s="178"/>
      <c r="S151" s="180"/>
      <c r="T151" s="178"/>
      <c r="U151" s="180"/>
    </row>
    <row r="152" spans="1:21">
      <c r="A152" s="176">
        <v>45784</v>
      </c>
      <c r="B152" s="177" t="s">
        <v>280</v>
      </c>
      <c r="C152" s="178">
        <v>320087</v>
      </c>
      <c r="D152" s="178">
        <v>1005428</v>
      </c>
      <c r="E152" s="178" t="s">
        <v>618</v>
      </c>
      <c r="F152" s="178" t="s">
        <v>195</v>
      </c>
      <c r="G152" s="178" t="s">
        <v>197</v>
      </c>
      <c r="H152" s="322">
        <v>10593</v>
      </c>
      <c r="I152" s="178"/>
      <c r="J152" s="179"/>
      <c r="K152" s="180">
        <v>1015</v>
      </c>
      <c r="L152" s="180" t="s">
        <v>278</v>
      </c>
      <c r="M152" s="181"/>
      <c r="N152" s="181"/>
      <c r="O152" s="181"/>
      <c r="P152" s="178"/>
      <c r="Q152" s="182"/>
      <c r="R152" s="178"/>
      <c r="S152" s="180"/>
      <c r="T152" s="178"/>
      <c r="U152" s="180"/>
    </row>
    <row r="153" spans="1:21">
      <c r="A153" s="176"/>
      <c r="B153" s="177"/>
      <c r="C153" s="178"/>
      <c r="D153" s="178"/>
      <c r="E153" s="178"/>
      <c r="F153" s="178"/>
      <c r="G153" s="178"/>
      <c r="H153" s="322"/>
      <c r="I153" s="178"/>
      <c r="J153" s="179"/>
      <c r="K153" s="180"/>
      <c r="L153" s="180"/>
      <c r="M153" s="181"/>
      <c r="N153" s="181"/>
      <c r="O153" s="181"/>
      <c r="P153" s="178"/>
      <c r="Q153" s="182"/>
      <c r="R153" s="178"/>
      <c r="S153" s="180"/>
      <c r="T153" s="178"/>
      <c r="U153" s="180"/>
    </row>
    <row r="154" spans="1:21">
      <c r="A154" s="176"/>
      <c r="B154" s="177"/>
      <c r="C154" s="178"/>
      <c r="D154" s="178"/>
      <c r="E154" s="178"/>
      <c r="F154" s="178"/>
      <c r="G154" s="178"/>
      <c r="H154" s="322"/>
      <c r="I154" s="178"/>
      <c r="J154" s="179"/>
      <c r="K154" s="180"/>
      <c r="L154" s="180"/>
      <c r="M154" s="181"/>
      <c r="N154" s="181"/>
      <c r="O154" s="181"/>
      <c r="P154" s="178"/>
      <c r="Q154" s="182"/>
      <c r="R154" s="178"/>
      <c r="S154" s="180"/>
      <c r="T154" s="178"/>
      <c r="U154" s="180"/>
    </row>
    <row r="155" spans="1:21">
      <c r="A155" s="176"/>
      <c r="B155" s="177"/>
      <c r="C155" s="178"/>
      <c r="D155" s="178"/>
      <c r="E155" s="178"/>
      <c r="F155" s="178"/>
      <c r="G155" s="178"/>
      <c r="H155" s="322"/>
      <c r="I155" s="178"/>
      <c r="J155" s="179"/>
      <c r="K155" s="180"/>
      <c r="L155" s="180"/>
      <c r="M155" s="181"/>
      <c r="N155" s="181"/>
      <c r="O155" s="181"/>
      <c r="P155" s="178"/>
      <c r="Q155" s="182"/>
      <c r="R155" s="178"/>
      <c r="S155" s="180"/>
      <c r="T155" s="178"/>
      <c r="U155" s="180"/>
    </row>
    <row r="156" spans="1:21">
      <c r="A156" s="176"/>
      <c r="B156" s="177"/>
      <c r="C156" s="178"/>
      <c r="D156" s="178"/>
      <c r="E156" s="178"/>
      <c r="F156" s="178"/>
      <c r="G156" s="178"/>
      <c r="H156" s="322"/>
      <c r="I156" s="178"/>
      <c r="J156" s="179"/>
      <c r="K156" s="180"/>
      <c r="L156" s="180"/>
      <c r="M156" s="181"/>
      <c r="N156" s="181"/>
      <c r="O156" s="181"/>
      <c r="P156" s="178"/>
      <c r="Q156" s="182"/>
      <c r="R156" s="178"/>
      <c r="S156" s="180"/>
      <c r="T156" s="178"/>
      <c r="U156" s="180"/>
    </row>
    <row r="157" spans="1:21">
      <c r="A157" s="176"/>
      <c r="B157" s="177"/>
      <c r="C157" s="178"/>
      <c r="D157" s="178"/>
      <c r="E157" s="178"/>
      <c r="F157" s="178"/>
      <c r="G157" s="178"/>
      <c r="H157" s="322"/>
      <c r="I157" s="178"/>
      <c r="J157" s="179"/>
      <c r="K157" s="180"/>
      <c r="L157" s="180"/>
      <c r="M157" s="181"/>
      <c r="N157" s="181"/>
      <c r="O157" s="181"/>
      <c r="P157" s="178"/>
      <c r="Q157" s="182"/>
      <c r="R157" s="178"/>
      <c r="S157" s="180"/>
      <c r="T157" s="178"/>
      <c r="U157" s="180"/>
    </row>
    <row r="158" spans="1:21">
      <c r="A158" s="176"/>
      <c r="B158" s="177"/>
      <c r="C158" s="178"/>
      <c r="D158" s="178"/>
      <c r="E158" s="178"/>
      <c r="F158" s="178"/>
      <c r="G158" s="178"/>
      <c r="H158" s="322"/>
      <c r="I158" s="178"/>
      <c r="J158" s="179"/>
      <c r="K158" s="180"/>
      <c r="L158" s="180"/>
      <c r="M158" s="181"/>
      <c r="N158" s="181"/>
      <c r="O158" s="181"/>
      <c r="P158" s="178"/>
      <c r="Q158" s="182"/>
      <c r="R158" s="178"/>
      <c r="S158" s="180"/>
      <c r="T158" s="178"/>
      <c r="U158" s="180"/>
    </row>
    <row r="159" spans="1:21">
      <c r="A159" s="176"/>
      <c r="B159" s="177"/>
      <c r="C159" s="178"/>
      <c r="D159" s="178"/>
      <c r="E159" s="178"/>
      <c r="F159" s="178"/>
      <c r="G159" s="178"/>
      <c r="H159" s="322"/>
      <c r="I159" s="178"/>
      <c r="J159" s="179"/>
      <c r="K159" s="180"/>
      <c r="L159" s="180"/>
      <c r="M159" s="181"/>
      <c r="N159" s="181"/>
      <c r="O159" s="181"/>
      <c r="P159" s="178"/>
      <c r="Q159" s="182"/>
      <c r="R159" s="178"/>
      <c r="S159" s="180"/>
      <c r="T159" s="178"/>
      <c r="U159" s="180"/>
    </row>
    <row r="160" spans="1:21">
      <c r="A160" s="176"/>
      <c r="B160" s="177"/>
      <c r="C160" s="178"/>
      <c r="D160" s="178"/>
      <c r="E160" s="178"/>
      <c r="F160" s="178"/>
      <c r="G160" s="178"/>
      <c r="H160" s="322"/>
      <c r="I160" s="178"/>
      <c r="J160" s="179"/>
      <c r="K160" s="180"/>
      <c r="L160" s="180"/>
      <c r="M160" s="181"/>
      <c r="N160" s="181"/>
      <c r="O160" s="181"/>
      <c r="P160" s="178"/>
      <c r="Q160" s="182"/>
      <c r="R160" s="178"/>
      <c r="S160" s="180"/>
      <c r="T160" s="178"/>
      <c r="U160" s="180"/>
    </row>
    <row r="161" spans="1:21">
      <c r="A161" s="176"/>
      <c r="B161" s="177"/>
      <c r="C161" s="178"/>
      <c r="D161" s="178"/>
      <c r="E161" s="178"/>
      <c r="F161" s="178"/>
      <c r="G161" s="178"/>
      <c r="H161" s="322"/>
      <c r="I161" s="178"/>
      <c r="J161" s="179"/>
      <c r="K161" s="180"/>
      <c r="L161" s="180"/>
      <c r="M161" s="181"/>
      <c r="N161" s="181"/>
      <c r="O161" s="181"/>
      <c r="P161" s="178"/>
      <c r="Q161" s="182"/>
      <c r="R161" s="178"/>
      <c r="S161" s="180"/>
      <c r="T161" s="178"/>
      <c r="U161" s="180"/>
    </row>
    <row r="162" spans="1:21">
      <c r="A162" s="176"/>
      <c r="B162" s="177"/>
      <c r="C162" s="178"/>
      <c r="D162" s="178"/>
      <c r="E162" s="178"/>
      <c r="F162" s="178"/>
      <c r="G162" s="178"/>
      <c r="H162" s="322"/>
      <c r="I162" s="178"/>
      <c r="J162" s="179"/>
      <c r="K162" s="180"/>
      <c r="L162" s="180"/>
      <c r="M162" s="181"/>
      <c r="N162" s="181"/>
      <c r="O162" s="181"/>
      <c r="P162" s="178"/>
      <c r="Q162" s="182"/>
      <c r="R162" s="178"/>
      <c r="S162" s="180"/>
      <c r="T162" s="178"/>
      <c r="U162" s="180"/>
    </row>
    <row r="163" spans="1:21">
      <c r="A163" s="176"/>
      <c r="B163" s="177"/>
      <c r="C163" s="178"/>
      <c r="D163" s="178"/>
      <c r="E163" s="178"/>
      <c r="F163" s="178"/>
      <c r="G163" s="178"/>
      <c r="H163" s="322"/>
      <c r="I163" s="178"/>
      <c r="J163" s="179"/>
      <c r="K163" s="180"/>
      <c r="L163" s="180"/>
      <c r="M163" s="181"/>
      <c r="N163" s="181"/>
      <c r="O163" s="181"/>
      <c r="P163" s="178"/>
      <c r="Q163" s="182"/>
      <c r="R163" s="178"/>
      <c r="S163" s="180"/>
      <c r="T163" s="178"/>
      <c r="U163" s="180"/>
    </row>
    <row r="164" spans="1:21">
      <c r="A164" s="176"/>
      <c r="B164" s="177"/>
      <c r="C164" s="178"/>
      <c r="D164" s="178"/>
      <c r="E164" s="178"/>
      <c r="F164" s="178"/>
      <c r="G164" s="178"/>
      <c r="H164" s="322"/>
      <c r="I164" s="178"/>
      <c r="J164" s="179"/>
      <c r="K164" s="180"/>
      <c r="L164" s="180"/>
      <c r="M164" s="181"/>
      <c r="N164" s="181"/>
      <c r="O164" s="181"/>
      <c r="P164" s="178"/>
      <c r="Q164" s="182"/>
      <c r="R164" s="178"/>
      <c r="S164" s="180"/>
      <c r="T164" s="178"/>
      <c r="U164" s="180"/>
    </row>
    <row r="165" spans="1:21">
      <c r="A165" s="176"/>
      <c r="B165" s="177"/>
      <c r="C165" s="178"/>
      <c r="D165" s="178"/>
      <c r="E165" s="178"/>
      <c r="F165" s="178"/>
      <c r="G165" s="178"/>
      <c r="H165" s="322"/>
      <c r="I165" s="178"/>
      <c r="J165" s="179"/>
      <c r="K165" s="180"/>
      <c r="L165" s="180"/>
      <c r="M165" s="181"/>
      <c r="N165" s="181"/>
      <c r="O165" s="181"/>
      <c r="P165" s="178"/>
      <c r="Q165" s="182"/>
      <c r="R165" s="178"/>
      <c r="S165" s="180"/>
      <c r="T165" s="178"/>
      <c r="U165" s="180"/>
    </row>
    <row r="166" spans="1:21">
      <c r="A166" s="176"/>
      <c r="B166" s="177"/>
      <c r="C166" s="178"/>
      <c r="D166" s="178"/>
      <c r="E166" s="178"/>
      <c r="F166" s="178"/>
      <c r="G166" s="178"/>
      <c r="H166" s="322"/>
      <c r="I166" s="178"/>
      <c r="J166" s="179"/>
      <c r="K166" s="180"/>
      <c r="L166" s="180"/>
      <c r="M166" s="181"/>
      <c r="N166" s="181"/>
      <c r="O166" s="181"/>
      <c r="P166" s="178"/>
      <c r="Q166" s="182"/>
      <c r="R166" s="178"/>
      <c r="S166" s="180"/>
      <c r="T166" s="178"/>
      <c r="U166" s="180"/>
    </row>
    <row r="167" spans="1:21">
      <c r="A167" s="176"/>
      <c r="B167" s="177"/>
      <c r="C167" s="178"/>
      <c r="D167" s="178"/>
      <c r="E167" s="178"/>
      <c r="F167" s="178"/>
      <c r="G167" s="178"/>
      <c r="H167" s="322"/>
      <c r="I167" s="178"/>
      <c r="J167" s="179"/>
      <c r="K167" s="180"/>
      <c r="L167" s="180"/>
      <c r="M167" s="181"/>
      <c r="N167" s="181"/>
      <c r="O167" s="181"/>
      <c r="P167" s="178"/>
      <c r="Q167" s="182"/>
      <c r="R167" s="178"/>
      <c r="S167" s="180"/>
      <c r="T167" s="178"/>
      <c r="U167" s="180"/>
    </row>
    <row r="168" spans="1:21">
      <c r="A168" s="176"/>
      <c r="B168" s="177"/>
      <c r="C168" s="178"/>
      <c r="D168" s="178"/>
      <c r="E168" s="178"/>
      <c r="F168" s="178"/>
      <c r="G168" s="178"/>
      <c r="H168" s="322"/>
      <c r="I168" s="178"/>
      <c r="J168" s="179"/>
      <c r="K168" s="180"/>
      <c r="L168" s="180"/>
      <c r="M168" s="181"/>
      <c r="N168" s="181"/>
      <c r="O168" s="181"/>
      <c r="P168" s="178"/>
      <c r="Q168" s="182"/>
      <c r="R168" s="178"/>
      <c r="S168" s="180"/>
      <c r="T168" s="178"/>
      <c r="U168" s="180"/>
    </row>
    <row r="169" spans="1:21">
      <c r="A169" s="176"/>
      <c r="B169" s="177"/>
      <c r="C169" s="178"/>
      <c r="D169" s="178"/>
      <c r="E169" s="178"/>
      <c r="F169" s="178"/>
      <c r="G169" s="178"/>
      <c r="H169" s="322"/>
      <c r="I169" s="178"/>
      <c r="J169" s="179"/>
      <c r="K169" s="180"/>
      <c r="L169" s="180"/>
      <c r="M169" s="181"/>
      <c r="N169" s="181"/>
      <c r="O169" s="181"/>
      <c r="P169" s="178"/>
      <c r="Q169" s="182"/>
      <c r="R169" s="178"/>
      <c r="S169" s="180"/>
      <c r="T169" s="178"/>
      <c r="U169" s="180"/>
    </row>
    <row r="170" spans="1:21">
      <c r="A170" s="176"/>
      <c r="B170" s="177"/>
      <c r="C170" s="178"/>
      <c r="D170" s="178"/>
      <c r="E170" s="178"/>
      <c r="F170" s="178"/>
      <c r="G170" s="178"/>
      <c r="H170" s="322"/>
      <c r="I170" s="178"/>
      <c r="J170" s="179"/>
      <c r="K170" s="180"/>
      <c r="L170" s="180"/>
      <c r="M170" s="181"/>
      <c r="N170" s="181"/>
      <c r="O170" s="181"/>
      <c r="P170" s="178"/>
      <c r="Q170" s="182"/>
      <c r="R170" s="178"/>
      <c r="S170" s="180"/>
      <c r="T170" s="178"/>
      <c r="U170" s="180"/>
    </row>
    <row r="172" spans="1:21">
      <c r="C172" s="294"/>
      <c r="D172" t="s">
        <v>619</v>
      </c>
    </row>
  </sheetData>
  <autoFilter ref="A5:X111" xr:uid="{AC9DA54E-48B0-4B82-94BA-772BB1924B6D}">
    <sortState xmlns:xlrd2="http://schemas.microsoft.com/office/spreadsheetml/2017/richdata2" ref="A6:X88">
      <sortCondition ref="A5:A88"/>
    </sortState>
  </autoFilter>
  <phoneticPr fontId="7" type="noConversion"/>
  <conditionalFormatting sqref="A6:L65 A66:E66 G66:L66 A67:L81 K81:L82 H81:H83">
    <cfRule type="containsBlanks" dxfId="7" priority="11">
      <formula>LEN(TRIM(A6))=0</formula>
    </cfRule>
  </conditionalFormatting>
  <conditionalFormatting sqref="C94:D94">
    <cfRule type="containsBlanks" dxfId="6" priority="2">
      <formula>LEN(TRIM(C94))=0</formula>
    </cfRule>
  </conditionalFormatting>
  <conditionalFormatting sqref="D83">
    <cfRule type="containsBlanks" dxfId="5" priority="10">
      <formula>LEN(TRIM(D83))=0</formula>
    </cfRule>
  </conditionalFormatting>
  <conditionalFormatting sqref="G86">
    <cfRule type="containsBlanks" dxfId="4" priority="8">
      <formula>LEN(TRIM(G86))=0</formula>
    </cfRule>
  </conditionalFormatting>
  <conditionalFormatting sqref="G88">
    <cfRule type="containsBlanks" dxfId="3" priority="7">
      <formula>LEN(TRIM(G88))=0</formula>
    </cfRule>
  </conditionalFormatting>
  <conditionalFormatting sqref="G92:G93 G95:G98 G104">
    <cfRule type="containsBlanks" dxfId="2" priority="6">
      <formula>LEN(TRIM(G92))=0</formula>
    </cfRule>
  </conditionalFormatting>
  <conditionalFormatting sqref="J89:J93 J95:J98">
    <cfRule type="containsBlanks" dxfId="1" priority="4">
      <formula>LEN(TRIM(J89))=0</formula>
    </cfRule>
  </conditionalFormatting>
  <conditionalFormatting sqref="J94:L94">
    <cfRule type="containsBlanks" dxfId="0" priority="1">
      <formula>LEN(TRIM(J94))=0</formula>
    </cfRule>
  </conditionalFormatting>
  <pageMargins left="0.7" right="0.7" top="0.75" bottom="0.75" header="0.3" footer="0.3"/>
  <pageSetup scale="33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TaxCatchAll xmlns="634ea35e-395a-4f8d-ab0d-48db4d881675" xsi:nil="true"/>
    <IsFolder xmlns="1cab6208-ddcc-4669-8806-4a67ceac9a98">false</IsFolder>
    <lcf76f155ced4ddcb4097134ff3c332f xmlns="1cab6208-ddcc-4669-8806-4a67ceac9a98">
      <Terms xmlns="http://schemas.microsoft.com/office/infopath/2007/PartnerControls"/>
    </lcf76f155ced4ddcb4097134ff3c332f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A40F75CDA4D943BBE69B3A62AB901C" ma:contentTypeVersion="19" ma:contentTypeDescription="Create a new document." ma:contentTypeScope="" ma:versionID="f88d2e1c91bcb2d6f3d80b740a62127e">
  <xsd:schema xmlns:xsd="http://www.w3.org/2001/XMLSchema" xmlns:xs="http://www.w3.org/2001/XMLSchema" xmlns:p="http://schemas.microsoft.com/office/2006/metadata/properties" xmlns:ns1="http://schemas.microsoft.com/sharepoint/v3" xmlns:ns2="1cab6208-ddcc-4669-8806-4a67ceac9a98" xmlns:ns3="634ea35e-395a-4f8d-ab0d-48db4d881675" targetNamespace="http://schemas.microsoft.com/office/2006/metadata/properties" ma:root="true" ma:fieldsID="1d0a7e1273da8ed540cca3e891700190" ns1:_="" ns2:_="" ns3:_="">
    <xsd:import namespace="http://schemas.microsoft.com/sharepoint/v3"/>
    <xsd:import namespace="1cab6208-ddcc-4669-8806-4a67ceac9a98"/>
    <xsd:import namespace="634ea35e-395a-4f8d-ab0d-48db4d88167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ObjectDetectorVersions" minOccurs="0"/>
                <xsd:element ref="ns2:MediaServiceSearchProperties" minOccurs="0"/>
                <xsd:element ref="ns2:IsFolder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ab6208-ddcc-4669-8806-4a67ceac9a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d27ff69-a514-4b5f-80b1-387c85af2a0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15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IsFolder" ma:index="25" nillable="true" ma:displayName="IsFolder" ma:default="0" ma:internalName="IsFolder">
      <xsd:simpleType>
        <xsd:restriction base="dms:Boolean"/>
      </xsd:simpleType>
    </xsd:element>
    <xsd:element name="MediaServiceBillingMetadata" ma:index="26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4ea35e-395a-4f8d-ab0d-48db4d88167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4f85a699-8f04-4832-b407-3a63a2bb5299}" ma:internalName="TaxCatchAll" ma:showField="CatchAllData" ma:web="634ea35e-395a-4f8d-ab0d-48db4d88167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6149E3-3889-427A-9ADF-23E0B49CF571}"/>
</file>

<file path=customXml/itemProps2.xml><?xml version="1.0" encoding="utf-8"?>
<ds:datastoreItem xmlns:ds="http://schemas.openxmlformats.org/officeDocument/2006/customXml" ds:itemID="{2751B107-E737-42BF-AAA7-286540EC8A0F}"/>
</file>

<file path=customXml/itemProps3.xml><?xml version="1.0" encoding="utf-8"?>
<ds:datastoreItem xmlns:ds="http://schemas.openxmlformats.org/officeDocument/2006/customXml" ds:itemID="{81A7CA29-11EF-4F6D-B3BE-3263FCAEDC3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Jake Maddox</dc:creator>
  <cp:keywords/>
  <dc:description/>
  <cp:lastModifiedBy/>
  <cp:revision/>
  <dcterms:created xsi:type="dcterms:W3CDTF">2018-06-07T22:17:26Z</dcterms:created>
  <dcterms:modified xsi:type="dcterms:W3CDTF">2025-05-15T21:46:20Z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0x01010032A40F75CDA4D943BBE69B3A62AB901C</vt:lpwstr>
  </property>
  <property fmtid="{D5CDD505-2E9C-101B-9397-08002B2CF9AE}" pid="3" name="MSIP_Label_04ea4179-1e11-4a48-a5bc-a8ddf67997a9_Enabled">
    <vt:lpwstr>true</vt:lpwstr>
  </property>
  <property fmtid="{D5CDD505-2E9C-101B-9397-08002B2CF9AE}" pid="4" name="MSIP_Label_04ea4179-1e11-4a48-a5bc-a8ddf67997a9_SetDate">
    <vt:lpwstr>2024-12-23T17:54:38Z</vt:lpwstr>
  </property>
  <property fmtid="{D5CDD505-2E9C-101B-9397-08002B2CF9AE}" pid="5" name="MSIP_Label_04ea4179-1e11-4a48-a5bc-a8ddf67997a9_Method">
    <vt:lpwstr>Standard</vt:lpwstr>
  </property>
  <property fmtid="{D5CDD505-2E9C-101B-9397-08002B2CF9AE}" pid="6" name="MSIP_Label_04ea4179-1e11-4a48-a5bc-a8ddf67997a9_Name">
    <vt:lpwstr>defa4170-0d19-0005-0004-bc88714345d2</vt:lpwstr>
  </property>
  <property fmtid="{D5CDD505-2E9C-101B-9397-08002B2CF9AE}" pid="7" name="MSIP_Label_04ea4179-1e11-4a48-a5bc-a8ddf67997a9_SiteId">
    <vt:lpwstr>d9da4402-9e96-4d08-a086-90d0acce4ddf</vt:lpwstr>
  </property>
  <property fmtid="{D5CDD505-2E9C-101B-9397-08002B2CF9AE}" pid="8" name="MSIP_Label_04ea4179-1e11-4a48-a5bc-a8ddf67997a9_ActionId">
    <vt:lpwstr>a5cea21a-affd-4518-880c-9351518f9cf5</vt:lpwstr>
  </property>
  <property fmtid="{D5CDD505-2E9C-101B-9397-08002B2CF9AE}" pid="9" name="MSIP_Label_04ea4179-1e11-4a48-a5bc-a8ddf67997a9_ContentBits">
    <vt:lpwstr>0</vt:lpwstr>
  </property>
  <property fmtid="{D5CDD505-2E9C-101B-9397-08002B2CF9AE}" pid="10" name="MediaServiceImageTags">
    <vt:lpwstr/>
  </property>
</Properties>
</file>